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SME Sales and Service\Chris\Approvals\BS-416\"/>
    </mc:Choice>
  </mc:AlternateContent>
  <bookViews>
    <workbookView xWindow="0" yWindow="0" windowWidth="26083" windowHeight="10882" tabRatio="524"/>
  </bookViews>
  <sheets>
    <sheet name="PAYG INDICATIVE OPTIONS" sheetId="12" r:id="rId1"/>
    <sheet name="Loan Repayment Input Sheet" sheetId="11" state="hidden" r:id="rId2"/>
  </sheets>
  <definedNames>
    <definedName name="_xlnm.Print_Area" localSheetId="1">'Loan Repayment Input Sheet'!$A$1:$O$384</definedName>
  </definedNames>
  <calcPr calcId="162913"/>
</workbook>
</file>

<file path=xl/calcChain.xml><?xml version="1.0" encoding="utf-8"?>
<calcChain xmlns="http://schemas.openxmlformats.org/spreadsheetml/2006/main">
  <c r="D18" i="12" l="1"/>
  <c r="D15" i="12"/>
  <c r="D16" i="12" l="1"/>
  <c r="U4" i="12"/>
  <c r="D31" i="12" l="1"/>
  <c r="D23" i="12"/>
  <c r="D19" i="12"/>
  <c r="D20" i="12"/>
  <c r="D17" i="12"/>
  <c r="D14" i="12"/>
  <c r="D24" i="12"/>
  <c r="D13" i="12"/>
  <c r="B23" i="12"/>
  <c r="B19" i="12"/>
  <c r="B16" i="12"/>
  <c r="B18" i="12"/>
  <c r="B15" i="12"/>
  <c r="B14" i="12"/>
  <c r="B13" i="12"/>
  <c r="B28" i="12" l="1"/>
  <c r="B24" i="12"/>
  <c r="B20" i="12"/>
  <c r="B17" i="12"/>
  <c r="V4" i="12"/>
  <c r="X4" i="12"/>
  <c r="W4" i="12"/>
  <c r="W5" i="12" s="1"/>
  <c r="W6" i="12" s="1"/>
  <c r="W7" i="12" s="1"/>
  <c r="W8" i="12" s="1"/>
  <c r="W9" i="12" s="1"/>
  <c r="C34" i="12"/>
  <c r="A20" i="12"/>
  <c r="A16" i="12"/>
  <c r="A13" i="12"/>
  <c r="A22" i="12"/>
  <c r="A18" i="12"/>
  <c r="A15" i="12"/>
  <c r="A12" i="12"/>
  <c r="U5" i="12" l="1"/>
  <c r="U6" i="12" s="1"/>
  <c r="U7" i="12" s="1"/>
  <c r="U8" i="12" s="1"/>
  <c r="U9" i="12" s="1"/>
  <c r="C31" i="12"/>
  <c r="H4" i="11" s="1"/>
  <c r="X5" i="12"/>
  <c r="X6" i="12" s="1"/>
  <c r="X7" i="12" s="1"/>
  <c r="X8" i="12" s="1"/>
  <c r="X9" i="12" s="1"/>
  <c r="V5" i="12"/>
  <c r="H2" i="11"/>
  <c r="E113" i="11" l="1"/>
  <c r="E105" i="11"/>
  <c r="E24" i="11"/>
  <c r="E39" i="11"/>
  <c r="E42" i="11"/>
  <c r="E83" i="11"/>
  <c r="E66" i="11"/>
  <c r="E68" i="11"/>
  <c r="E32" i="11"/>
  <c r="E74" i="11"/>
  <c r="E108" i="11"/>
  <c r="E63" i="11"/>
  <c r="E72" i="11"/>
  <c r="E106" i="11"/>
  <c r="E69" i="11"/>
  <c r="E88" i="11"/>
  <c r="E23" i="11"/>
  <c r="E30" i="11"/>
  <c r="E49" i="11"/>
  <c r="E47" i="11"/>
  <c r="E94" i="11"/>
  <c r="E97" i="11"/>
  <c r="E80" i="11"/>
  <c r="E111" i="11"/>
  <c r="E96" i="11"/>
  <c r="E27" i="11"/>
  <c r="E91" i="11"/>
  <c r="E84" i="11"/>
  <c r="E116" i="11"/>
  <c r="E85" i="11"/>
  <c r="E38" i="11"/>
  <c r="E102" i="11"/>
  <c r="E128" i="11"/>
  <c r="E87" i="11"/>
  <c r="E104" i="11"/>
  <c r="E121" i="11"/>
  <c r="E82" i="11"/>
  <c r="E71" i="11"/>
  <c r="E112" i="11"/>
  <c r="E35" i="11"/>
  <c r="E99" i="11"/>
  <c r="E100" i="11"/>
  <c r="E124" i="11"/>
  <c r="E93" i="11"/>
  <c r="E46" i="11"/>
  <c r="E110" i="11"/>
  <c r="E103" i="11"/>
  <c r="E120" i="11"/>
  <c r="E26" i="11"/>
  <c r="E90" i="11"/>
  <c r="E95" i="11"/>
  <c r="E25" i="11"/>
  <c r="E43" i="11"/>
  <c r="E107" i="11"/>
  <c r="E77" i="11"/>
  <c r="E29" i="11"/>
  <c r="E101" i="11"/>
  <c r="E54" i="11"/>
  <c r="E118" i="11"/>
  <c r="E127" i="11"/>
  <c r="E33" i="11"/>
  <c r="E34" i="11"/>
  <c r="E98" i="11"/>
  <c r="E119" i="11"/>
  <c r="E41" i="11"/>
  <c r="E51" i="11"/>
  <c r="E115" i="11"/>
  <c r="E44" i="11"/>
  <c r="E37" i="11"/>
  <c r="E109" i="11"/>
  <c r="E62" i="11"/>
  <c r="E126" i="11"/>
  <c r="E57" i="11"/>
  <c r="E59" i="11"/>
  <c r="E123" i="11"/>
  <c r="E60" i="11"/>
  <c r="E45" i="11"/>
  <c r="E117" i="11"/>
  <c r="E70" i="11"/>
  <c r="E31" i="11"/>
  <c r="E48" i="11"/>
  <c r="E65" i="11"/>
  <c r="E50" i="11"/>
  <c r="E114" i="11"/>
  <c r="E40" i="11"/>
  <c r="E73" i="11"/>
  <c r="E67" i="11"/>
  <c r="E28" i="11"/>
  <c r="E76" i="11"/>
  <c r="E53" i="11"/>
  <c r="E125" i="11"/>
  <c r="E78" i="11"/>
  <c r="E55" i="11"/>
  <c r="E36" i="11"/>
  <c r="E64" i="11"/>
  <c r="E81" i="11"/>
  <c r="E58" i="11"/>
  <c r="E122" i="11"/>
  <c r="E56" i="11"/>
  <c r="E89" i="11"/>
  <c r="E75" i="11"/>
  <c r="E52" i="11"/>
  <c r="E92" i="11"/>
  <c r="E61" i="11"/>
  <c r="E22" i="11"/>
  <c r="E86" i="11"/>
  <c r="E79" i="11"/>
  <c r="E21" i="11"/>
  <c r="AA4" i="12"/>
  <c r="AA5" i="12" s="1"/>
  <c r="AA6" i="12" s="1"/>
  <c r="AA7" i="12" s="1"/>
  <c r="AA8" i="12" s="1"/>
  <c r="AA9" i="12" s="1"/>
  <c r="AA10" i="12" s="1"/>
  <c r="AA11" i="12" s="1"/>
  <c r="AA12" i="12" s="1"/>
  <c r="AA13" i="12" s="1"/>
  <c r="AA14" i="12" s="1"/>
  <c r="AA15" i="12" s="1"/>
  <c r="AA16" i="12" s="1"/>
  <c r="AA17" i="12" s="1"/>
  <c r="AA18" i="12" s="1"/>
  <c r="AA19" i="12" s="1"/>
  <c r="AA20" i="12" s="1"/>
  <c r="AA21" i="12" s="1"/>
  <c r="AA22" i="12" s="1"/>
  <c r="AA23" i="12" s="1"/>
  <c r="AA24" i="12" s="1"/>
  <c r="AA25" i="12" s="1"/>
  <c r="AA26" i="12" s="1"/>
  <c r="AA27" i="12" s="1"/>
  <c r="AA28" i="12" s="1"/>
  <c r="AA29" i="12" s="1"/>
  <c r="AA30" i="12" s="1"/>
  <c r="AA31" i="12" s="1"/>
  <c r="AA32" i="12" s="1"/>
  <c r="AA33" i="12" s="1"/>
  <c r="AA34" i="12" s="1"/>
  <c r="AA35" i="12" s="1"/>
  <c r="AA36" i="12" s="1"/>
  <c r="AA37" i="12" s="1"/>
  <c r="AA38" i="12" s="1"/>
  <c r="AA39" i="12" s="1"/>
  <c r="AA40" i="12" s="1"/>
  <c r="AA41" i="12" s="1"/>
  <c r="AA42" i="12" s="1"/>
  <c r="AA43" i="12" s="1"/>
  <c r="AA44" i="12" s="1"/>
  <c r="AA45" i="12" s="1"/>
  <c r="AA46" i="12" s="1"/>
  <c r="AA47" i="12" s="1"/>
  <c r="AA48" i="12" s="1"/>
  <c r="AA49" i="12" s="1"/>
  <c r="AA50" i="12" s="1"/>
  <c r="AA51" i="12" s="1"/>
  <c r="AA52" i="12" s="1"/>
  <c r="AA53" i="12" s="1"/>
  <c r="AA54" i="12" s="1"/>
  <c r="AA55" i="12" s="1"/>
  <c r="AA56" i="12" s="1"/>
  <c r="AA57" i="12" s="1"/>
  <c r="AA58" i="12" s="1"/>
  <c r="AA59" i="12" s="1"/>
  <c r="AA60" i="12" s="1"/>
  <c r="AA61" i="12" s="1"/>
  <c r="AA62" i="12" s="1"/>
  <c r="AA63" i="12" s="1"/>
  <c r="AA64" i="12" s="1"/>
  <c r="AA65" i="12" s="1"/>
  <c r="AA66" i="12" s="1"/>
  <c r="AA67" i="12" s="1"/>
  <c r="AA68" i="12" s="1"/>
  <c r="AA69" i="12" s="1"/>
  <c r="AA70" i="12" s="1"/>
  <c r="AA71" i="12" s="1"/>
  <c r="AA72" i="12" s="1"/>
  <c r="AA73" i="12" s="1"/>
  <c r="AA74" i="12" s="1"/>
  <c r="AA75" i="12" s="1"/>
  <c r="AA76" i="12" s="1"/>
  <c r="AA77" i="12" s="1"/>
  <c r="AA78" i="12" s="1"/>
  <c r="AA79" i="12" s="1"/>
  <c r="AA80" i="12" s="1"/>
  <c r="AA81" i="12" s="1"/>
  <c r="AA82" i="12" s="1"/>
  <c r="AA83" i="12" s="1"/>
  <c r="AA84" i="12" s="1"/>
  <c r="AA85" i="12" s="1"/>
  <c r="AA86" i="12" s="1"/>
  <c r="AA87" i="12" s="1"/>
  <c r="AA88" i="12" s="1"/>
  <c r="AA89" i="12" s="1"/>
  <c r="AA90" i="12" s="1"/>
  <c r="AA91" i="12" s="1"/>
  <c r="AA92" i="12" s="1"/>
  <c r="AA93" i="12" s="1"/>
  <c r="AA94" i="12" s="1"/>
  <c r="AA95" i="12" s="1"/>
  <c r="AA96" i="12" s="1"/>
  <c r="AA97" i="12" s="1"/>
  <c r="AA98" i="12" s="1"/>
  <c r="AA99" i="12" s="1"/>
  <c r="AA100" i="12" s="1"/>
  <c r="AA101" i="12" s="1"/>
  <c r="AA102" i="12" s="1"/>
  <c r="AA103" i="12" s="1"/>
  <c r="AA104" i="12" s="1"/>
  <c r="AA105" i="12" s="1"/>
  <c r="V6" i="12"/>
  <c r="B16" i="11"/>
  <c r="M4" i="11"/>
  <c r="M5" i="11"/>
  <c r="M6" i="11" s="1"/>
  <c r="M8" i="11"/>
  <c r="V7" i="12" l="1"/>
  <c r="M14" i="11"/>
  <c r="N14" i="11" s="1"/>
  <c r="J20" i="11"/>
  <c r="F38" i="12" s="1"/>
  <c r="V8" i="12" l="1"/>
  <c r="B17" i="11"/>
  <c r="V9" i="12" l="1"/>
  <c r="D240" i="11" s="1"/>
  <c r="AC108" i="12"/>
  <c r="C21" i="11"/>
  <c r="A18" i="11"/>
  <c r="A73" i="11" s="1"/>
  <c r="AC111" i="12" l="1"/>
  <c r="AC67" i="12"/>
  <c r="AC58" i="12"/>
  <c r="Z19" i="12"/>
  <c r="AC87" i="12"/>
  <c r="Z23" i="12"/>
  <c r="AC47" i="12"/>
  <c r="Z89" i="12"/>
  <c r="Z74" i="12"/>
  <c r="Z110" i="12"/>
  <c r="AC43" i="12"/>
  <c r="Z35" i="12"/>
  <c r="AC63" i="12"/>
  <c r="AC41" i="12"/>
  <c r="AC88" i="12"/>
  <c r="Z42" i="12"/>
  <c r="AC99" i="12"/>
  <c r="AC57" i="12"/>
  <c r="AC52" i="12"/>
  <c r="Z80" i="12"/>
  <c r="Z98" i="12"/>
  <c r="AC78" i="12"/>
  <c r="Z18" i="12"/>
  <c r="Z10" i="12"/>
  <c r="AC40" i="12"/>
  <c r="Z28" i="12"/>
  <c r="Z57" i="12"/>
  <c r="D259" i="11"/>
  <c r="D124" i="11"/>
  <c r="D40" i="11"/>
  <c r="D134" i="11"/>
  <c r="AC84" i="12"/>
  <c r="Z48" i="12"/>
  <c r="Z45" i="12"/>
  <c r="AC14" i="12"/>
  <c r="AC23" i="12"/>
  <c r="AC55" i="12"/>
  <c r="AC76" i="12"/>
  <c r="Z64" i="12"/>
  <c r="Z67" i="12"/>
  <c r="AC73" i="12"/>
  <c r="Z58" i="12"/>
  <c r="AC7" i="12"/>
  <c r="Z90" i="12"/>
  <c r="Z111" i="12"/>
  <c r="Z97" i="12"/>
  <c r="Z8" i="12"/>
  <c r="Z75" i="12"/>
  <c r="AC72" i="12"/>
  <c r="AC53" i="12"/>
  <c r="AC82" i="12"/>
  <c r="Z13" i="12"/>
  <c r="Z6" i="12"/>
  <c r="Z55" i="12"/>
  <c r="Z39" i="12"/>
  <c r="AC93" i="12"/>
  <c r="D206" i="11"/>
  <c r="D231" i="11"/>
  <c r="D222" i="11"/>
  <c r="D367" i="11"/>
  <c r="D148" i="11"/>
  <c r="D67" i="11"/>
  <c r="D75" i="11"/>
  <c r="D248" i="11"/>
  <c r="D333" i="11"/>
  <c r="D359" i="11"/>
  <c r="D79" i="11"/>
  <c r="D174" i="11"/>
  <c r="D179" i="11"/>
  <c r="D298" i="11"/>
  <c r="D35" i="11"/>
  <c r="D294" i="11"/>
  <c r="D189" i="11"/>
  <c r="D169" i="11"/>
  <c r="D98" i="11"/>
  <c r="D194" i="11"/>
  <c r="D266" i="11"/>
  <c r="D160" i="11"/>
  <c r="D334" i="11"/>
  <c r="D276" i="11"/>
  <c r="D287" i="11"/>
  <c r="D45" i="11"/>
  <c r="D59" i="11"/>
  <c r="D107" i="11"/>
  <c r="D212" i="11"/>
  <c r="D254" i="11"/>
  <c r="D372" i="11"/>
  <c r="D330" i="11"/>
  <c r="D103" i="11"/>
  <c r="D53" i="11"/>
  <c r="D164" i="11"/>
  <c r="D162" i="11"/>
  <c r="D36" i="11"/>
  <c r="D48" i="11"/>
  <c r="D170" i="11"/>
  <c r="Z27" i="12"/>
  <c r="Z32" i="12"/>
  <c r="D253" i="11"/>
  <c r="D142" i="11"/>
  <c r="D258" i="11"/>
  <c r="D225" i="11"/>
  <c r="Z71" i="12"/>
  <c r="AC109" i="12"/>
  <c r="Z52" i="12"/>
  <c r="Z106" i="12"/>
  <c r="Z16" i="12"/>
  <c r="AC70" i="12"/>
  <c r="AC66" i="12"/>
  <c r="AC89" i="12"/>
  <c r="Z82" i="12"/>
  <c r="Z66" i="12"/>
  <c r="Z86" i="12"/>
  <c r="AC110" i="12"/>
  <c r="AC38" i="12"/>
  <c r="Z24" i="12"/>
  <c r="AC95" i="12"/>
  <c r="AC6" i="12"/>
  <c r="Z77" i="12"/>
  <c r="Z104" i="12"/>
  <c r="AC103" i="12"/>
  <c r="AC51" i="12"/>
  <c r="AC22" i="12"/>
  <c r="AC75" i="12"/>
  <c r="AC62" i="12"/>
  <c r="AC85" i="12"/>
  <c r="D132" i="11"/>
  <c r="D24" i="11"/>
  <c r="D364" i="11"/>
  <c r="D370" i="11"/>
  <c r="D82" i="11"/>
  <c r="D371" i="11"/>
  <c r="D310" i="11"/>
  <c r="D70" i="11"/>
  <c r="D182" i="11"/>
  <c r="D129" i="11"/>
  <c r="D192" i="11"/>
  <c r="D89" i="11"/>
  <c r="D69" i="11"/>
  <c r="D84" i="11"/>
  <c r="D31" i="11"/>
  <c r="D80" i="11"/>
  <c r="D57" i="11"/>
  <c r="D72" i="11"/>
  <c r="D246" i="11"/>
  <c r="D360" i="11"/>
  <c r="D252" i="11"/>
  <c r="D373" i="11"/>
  <c r="D220" i="11"/>
  <c r="D171" i="11"/>
  <c r="D126" i="11"/>
  <c r="D21" i="11"/>
  <c r="D71" i="11"/>
  <c r="D345" i="11"/>
  <c r="D348" i="11"/>
  <c r="D151" i="11"/>
  <c r="D38" i="11"/>
  <c r="D177" i="11"/>
  <c r="D117" i="11"/>
  <c r="D247" i="11"/>
  <c r="D335" i="11"/>
  <c r="D288" i="11"/>
  <c r="D91" i="11"/>
  <c r="D185" i="11"/>
  <c r="D290" i="11"/>
  <c r="D256" i="11"/>
  <c r="D349" i="11"/>
  <c r="D100" i="11"/>
  <c r="D239" i="11"/>
  <c r="D211" i="11"/>
  <c r="D93" i="11"/>
  <c r="D228" i="11"/>
  <c r="D255" i="11"/>
  <c r="D332" i="11"/>
  <c r="D22" i="11"/>
  <c r="D78" i="11"/>
  <c r="D76" i="11"/>
  <c r="D327" i="11"/>
  <c r="D323" i="11"/>
  <c r="D109" i="11"/>
  <c r="D32" i="11"/>
  <c r="D197" i="11"/>
  <c r="D241" i="11"/>
  <c r="D343" i="11"/>
  <c r="D191" i="11"/>
  <c r="D363" i="11"/>
  <c r="D199" i="11"/>
  <c r="D205" i="11"/>
  <c r="D56" i="11"/>
  <c r="D257" i="11"/>
  <c r="D115" i="11"/>
  <c r="D249" i="11"/>
  <c r="AC18" i="12"/>
  <c r="D214" i="11"/>
  <c r="D283" i="11"/>
  <c r="D118" i="11"/>
  <c r="D300" i="11"/>
  <c r="AC46" i="12"/>
  <c r="Z31" i="12"/>
  <c r="Z68" i="12"/>
  <c r="Z100" i="12"/>
  <c r="AC9" i="12"/>
  <c r="AC100" i="12"/>
  <c r="D154" i="11"/>
  <c r="D227" i="11"/>
  <c r="D293" i="11"/>
  <c r="D111" i="11"/>
  <c r="D87" i="11"/>
  <c r="D94" i="11"/>
  <c r="D344" i="11"/>
  <c r="D261" i="11"/>
  <c r="D346" i="11"/>
  <c r="D65" i="11"/>
  <c r="D159" i="11"/>
  <c r="D297" i="11"/>
  <c r="D337" i="11"/>
  <c r="D250" i="11"/>
  <c r="D180" i="11"/>
  <c r="D305" i="11"/>
  <c r="D85" i="11"/>
  <c r="D365" i="11"/>
  <c r="D62" i="11"/>
  <c r="D242" i="11"/>
  <c r="D314" i="11"/>
  <c r="D105" i="11"/>
  <c r="D376" i="11"/>
  <c r="D324" i="11"/>
  <c r="D268" i="11"/>
  <c r="D135" i="11"/>
  <c r="D351" i="11"/>
  <c r="D61" i="11"/>
  <c r="D155" i="11"/>
  <c r="D175" i="11"/>
  <c r="D308" i="11"/>
  <c r="D138" i="11"/>
  <c r="D33" i="11"/>
  <c r="D113" i="11"/>
  <c r="D234" i="11"/>
  <c r="D318" i="11"/>
  <c r="D46" i="11"/>
  <c r="D352" i="11"/>
  <c r="D147" i="11"/>
  <c r="AC21" i="12"/>
  <c r="Z99" i="12"/>
  <c r="D369" i="11"/>
  <c r="D381" i="11"/>
  <c r="D204" i="11"/>
  <c r="D186" i="11"/>
  <c r="Z53" i="12"/>
  <c r="Z7" i="12"/>
  <c r="AC36" i="12"/>
  <c r="Z15" i="12"/>
  <c r="Z34" i="12"/>
  <c r="Z11" i="12"/>
  <c r="AC94" i="12"/>
  <c r="Z41" i="12"/>
  <c r="Z60" i="12"/>
  <c r="Z33" i="12"/>
  <c r="AC105" i="12"/>
  <c r="AC29" i="12"/>
  <c r="AC12" i="12"/>
  <c r="AC64" i="12"/>
  <c r="AC10" i="12"/>
  <c r="Z94" i="12"/>
  <c r="AC30" i="12"/>
  <c r="AC16" i="12"/>
  <c r="Z9" i="12"/>
  <c r="Z109" i="12"/>
  <c r="AC106" i="12"/>
  <c r="AC96" i="12"/>
  <c r="AC15" i="12"/>
  <c r="Z91" i="12"/>
  <c r="Z56" i="12"/>
  <c r="D237" i="11"/>
  <c r="D354" i="11"/>
  <c r="D58" i="11"/>
  <c r="D125" i="11"/>
  <c r="D133" i="11"/>
  <c r="D223" i="11"/>
  <c r="D219" i="11"/>
  <c r="D120" i="11"/>
  <c r="D279" i="11"/>
  <c r="D235" i="11"/>
  <c r="D295" i="11"/>
  <c r="D215" i="11"/>
  <c r="D143" i="11"/>
  <c r="D181" i="11"/>
  <c r="D127" i="11"/>
  <c r="D66" i="11"/>
  <c r="D50" i="11"/>
  <c r="D122" i="11"/>
  <c r="D245" i="11"/>
  <c r="D307" i="11"/>
  <c r="D136" i="11"/>
  <c r="D368" i="11"/>
  <c r="D152" i="11"/>
  <c r="D195" i="11"/>
  <c r="D37" i="11"/>
  <c r="D271" i="11"/>
  <c r="D23" i="11"/>
  <c r="D331" i="11"/>
  <c r="D325" i="11"/>
  <c r="D207" i="11"/>
  <c r="D90" i="11"/>
  <c r="D60" i="11"/>
  <c r="D200" i="11"/>
  <c r="D97" i="11"/>
  <c r="D196" i="11"/>
  <c r="D267" i="11"/>
  <c r="D216" i="11"/>
  <c r="D260" i="11"/>
  <c r="D311" i="11"/>
  <c r="Z44" i="12"/>
  <c r="Z69" i="12"/>
  <c r="D286" i="11"/>
  <c r="D52" i="11"/>
  <c r="D86" i="11"/>
  <c r="D328" i="11"/>
  <c r="Z36" i="12"/>
  <c r="Z40" i="12"/>
  <c r="Z5" i="12"/>
  <c r="Z87" i="12"/>
  <c r="Z25" i="12"/>
  <c r="Z22" i="12"/>
  <c r="AC60" i="12"/>
  <c r="Z78" i="12"/>
  <c r="AC45" i="12"/>
  <c r="AC17" i="12"/>
  <c r="AC28" i="12"/>
  <c r="Z101" i="12"/>
  <c r="Z14" i="12"/>
  <c r="AC11" i="12"/>
  <c r="AC50" i="12"/>
  <c r="AC65" i="12"/>
  <c r="Z88" i="12"/>
  <c r="Z108" i="12"/>
  <c r="AC91" i="12"/>
  <c r="Z54" i="12"/>
  <c r="Z12" i="12"/>
  <c r="AC74" i="12"/>
  <c r="AC32" i="12"/>
  <c r="D163" i="11"/>
  <c r="D375" i="11"/>
  <c r="D341" i="11"/>
  <c r="D230" i="11"/>
  <c r="D178" i="11"/>
  <c r="D203" i="11"/>
  <c r="D187" i="11"/>
  <c r="D350" i="11"/>
  <c r="D377" i="11"/>
  <c r="D139" i="11"/>
  <c r="D236" i="11"/>
  <c r="D292" i="11"/>
  <c r="D210" i="11"/>
  <c r="D140" i="11"/>
  <c r="D173" i="11"/>
  <c r="D213" i="11"/>
  <c r="D221" i="11"/>
  <c r="D39" i="11"/>
  <c r="D149" i="11"/>
  <c r="D172" i="11"/>
  <c r="D233" i="11"/>
  <c r="D306" i="11"/>
  <c r="D168" i="11"/>
  <c r="D265" i="11"/>
  <c r="D263" i="11"/>
  <c r="D47" i="11"/>
  <c r="D284" i="11"/>
  <c r="D30" i="11"/>
  <c r="D378" i="11"/>
  <c r="D34" i="11"/>
  <c r="D302" i="11"/>
  <c r="D137" i="11"/>
  <c r="D238" i="11"/>
  <c r="D128" i="11"/>
  <c r="D289" i="11"/>
  <c r="D73" i="11"/>
  <c r="D319" i="11"/>
  <c r="D355" i="11"/>
  <c r="D43" i="11"/>
  <c r="D274" i="11"/>
  <c r="D277" i="11"/>
  <c r="D145" i="11"/>
  <c r="D224" i="11"/>
  <c r="D25" i="11"/>
  <c r="D54" i="11"/>
  <c r="D101" i="11"/>
  <c r="D384" i="11"/>
  <c r="D232" i="11"/>
  <c r="D201" i="11"/>
  <c r="D356" i="11"/>
  <c r="D190" i="11"/>
  <c r="D309" i="11"/>
  <c r="D63" i="11"/>
  <c r="D209" i="11"/>
  <c r="D322" i="11"/>
  <c r="D280" i="11"/>
  <c r="D123" i="11"/>
  <c r="D68" i="11"/>
  <c r="D95" i="11"/>
  <c r="D157" i="11"/>
  <c r="D106" i="11"/>
  <c r="D26" i="11"/>
  <c r="D183" i="11"/>
  <c r="D42" i="11"/>
  <c r="D251" i="11"/>
  <c r="D269" i="11"/>
  <c r="D217" i="11"/>
  <c r="D96" i="11"/>
  <c r="D362" i="11"/>
  <c r="D41" i="11"/>
  <c r="D141" i="11"/>
  <c r="D49" i="11"/>
  <c r="D77" i="11"/>
  <c r="D244" i="11"/>
  <c r="D112" i="11"/>
  <c r="D299" i="11"/>
  <c r="D114" i="11"/>
  <c r="D193" i="11"/>
  <c r="D264" i="11"/>
  <c r="D313" i="11"/>
  <c r="D74" i="11"/>
  <c r="D218" i="11"/>
  <c r="D361" i="11"/>
  <c r="D301" i="11"/>
  <c r="D92" i="11"/>
  <c r="D27" i="11"/>
  <c r="D29" i="11"/>
  <c r="D321" i="11"/>
  <c r="D116" i="11"/>
  <c r="D131" i="11"/>
  <c r="D272" i="11"/>
  <c r="D338" i="11"/>
  <c r="D382" i="11"/>
  <c r="D326" i="11"/>
  <c r="D339" i="11"/>
  <c r="D281" i="11"/>
  <c r="D303" i="11"/>
  <c r="D358" i="11"/>
  <c r="D336" i="11"/>
  <c r="D316" i="11"/>
  <c r="D366" i="11"/>
  <c r="D273" i="11"/>
  <c r="D184" i="11"/>
  <c r="D270" i="11"/>
  <c r="D158" i="11"/>
  <c r="D119" i="11"/>
  <c r="D121" i="11"/>
  <c r="D383" i="11"/>
  <c r="D44" i="11"/>
  <c r="D55" i="11"/>
  <c r="D153" i="11"/>
  <c r="D304" i="11"/>
  <c r="D342" i="11"/>
  <c r="D81" i="11"/>
  <c r="D202" i="11"/>
  <c r="D51" i="11"/>
  <c r="D104" i="11"/>
  <c r="D315" i="11"/>
  <c r="D208" i="11"/>
  <c r="D156" i="11"/>
  <c r="D296" i="11"/>
  <c r="Z17" i="12"/>
  <c r="AC39" i="12"/>
  <c r="AC80" i="12"/>
  <c r="AC104" i="12"/>
  <c r="AC81" i="12"/>
  <c r="AC5" i="12"/>
  <c r="D198" i="11"/>
  <c r="D329" i="11"/>
  <c r="D262" i="11"/>
  <c r="D188" i="11"/>
  <c r="D83" i="11"/>
  <c r="D278" i="11"/>
  <c r="D110" i="11"/>
  <c r="D229" i="11"/>
  <c r="D285" i="11"/>
  <c r="D99" i="11"/>
  <c r="D146" i="11"/>
  <c r="D380" i="11"/>
  <c r="D28" i="11"/>
  <c r="D150" i="11"/>
  <c r="D275" i="11"/>
  <c r="D64" i="11"/>
  <c r="D166" i="11"/>
  <c r="D353" i="11"/>
  <c r="D282" i="11"/>
  <c r="D108" i="11"/>
  <c r="D130" i="11"/>
  <c r="D379" i="11"/>
  <c r="D161" i="11"/>
  <c r="D144" i="11"/>
  <c r="D226" i="11"/>
  <c r="D291" i="11"/>
  <c r="D340" i="11"/>
  <c r="D176" i="11"/>
  <c r="D312" i="11"/>
  <c r="D347" i="11"/>
  <c r="D243" i="11"/>
  <c r="D102" i="11"/>
  <c r="D357" i="11"/>
  <c r="D320" i="11"/>
  <c r="D317" i="11"/>
  <c r="D374" i="11"/>
  <c r="D88" i="11"/>
  <c r="D165" i="11"/>
  <c r="D167" i="11"/>
  <c r="AB4" i="12"/>
  <c r="AB5" i="12" s="1"/>
  <c r="AB6" i="12" s="1"/>
  <c r="AB7" i="12" s="1"/>
  <c r="AB8" i="12" s="1"/>
  <c r="AB9" i="12" s="1"/>
  <c r="AB10" i="12" s="1"/>
  <c r="AB11" i="12" s="1"/>
  <c r="AB12" i="12" s="1"/>
  <c r="AB13" i="12" s="1"/>
  <c r="AB14" i="12" s="1"/>
  <c r="AB15" i="12" s="1"/>
  <c r="AB16" i="12" s="1"/>
  <c r="AB17" i="12" s="1"/>
  <c r="AB18" i="12" s="1"/>
  <c r="AB19" i="12" s="1"/>
  <c r="AB20" i="12" s="1"/>
  <c r="AB21" i="12" s="1"/>
  <c r="AB22" i="12" s="1"/>
  <c r="AB23" i="12" s="1"/>
  <c r="AB24" i="12" s="1"/>
  <c r="AB25" i="12" s="1"/>
  <c r="AB26" i="12" s="1"/>
  <c r="AB27" i="12" s="1"/>
  <c r="AB28" i="12" s="1"/>
  <c r="AB29" i="12" s="1"/>
  <c r="AB30" i="12" s="1"/>
  <c r="AB31" i="12" s="1"/>
  <c r="AB32" i="12" s="1"/>
  <c r="AB33" i="12" s="1"/>
  <c r="AB34" i="12" s="1"/>
  <c r="AB35" i="12" s="1"/>
  <c r="AB36" i="12" s="1"/>
  <c r="AB37" i="12" s="1"/>
  <c r="AB38" i="12" s="1"/>
  <c r="AB39" i="12" s="1"/>
  <c r="AB40" i="12" s="1"/>
  <c r="AB41" i="12" s="1"/>
  <c r="AB42" i="12" s="1"/>
  <c r="AB43" i="12" s="1"/>
  <c r="AB44" i="12" s="1"/>
  <c r="AB45" i="12" s="1"/>
  <c r="AB46" i="12" s="1"/>
  <c r="AB47" i="12" s="1"/>
  <c r="AB48" i="12" s="1"/>
  <c r="AB49" i="12" s="1"/>
  <c r="AB50" i="12" s="1"/>
  <c r="AB51" i="12" s="1"/>
  <c r="AB52" i="12" s="1"/>
  <c r="AB53" i="12" s="1"/>
  <c r="AB54" i="12" s="1"/>
  <c r="AB55" i="12" s="1"/>
  <c r="AB56" i="12" s="1"/>
  <c r="AB57" i="12" s="1"/>
  <c r="AB58" i="12" s="1"/>
  <c r="AB59" i="12" s="1"/>
  <c r="AB60" i="12" s="1"/>
  <c r="AB61" i="12" s="1"/>
  <c r="AB62" i="12" s="1"/>
  <c r="AB63" i="12" s="1"/>
  <c r="AB64" i="12" s="1"/>
  <c r="AB65" i="12" s="1"/>
  <c r="AB66" i="12" s="1"/>
  <c r="AB67" i="12" s="1"/>
  <c r="AB68" i="12" s="1"/>
  <c r="AB69" i="12" s="1"/>
  <c r="AB70" i="12" s="1"/>
  <c r="AB71" i="12" s="1"/>
  <c r="AB72" i="12" s="1"/>
  <c r="AB73" i="12" s="1"/>
  <c r="AB74" i="12" s="1"/>
  <c r="AB75" i="12" s="1"/>
  <c r="AB76" i="12" s="1"/>
  <c r="AB77" i="12" s="1"/>
  <c r="AB78" i="12" s="1"/>
  <c r="AB79" i="12" s="1"/>
  <c r="AB80" i="12" s="1"/>
  <c r="AB81" i="12" s="1"/>
  <c r="AB82" i="12" s="1"/>
  <c r="AB83" i="12" s="1"/>
  <c r="AB84" i="12" s="1"/>
  <c r="AB85" i="12" s="1"/>
  <c r="AB86" i="12" s="1"/>
  <c r="AB87" i="12" s="1"/>
  <c r="AB88" i="12" s="1"/>
  <c r="AB89" i="12" s="1"/>
  <c r="AB90" i="12" s="1"/>
  <c r="AB91" i="12" s="1"/>
  <c r="AB92" i="12" s="1"/>
  <c r="AB93" i="12" s="1"/>
  <c r="AB94" i="12" s="1"/>
  <c r="AB95" i="12" s="1"/>
  <c r="AB96" i="12" s="1"/>
  <c r="AB97" i="12" s="1"/>
  <c r="AB98" i="12" s="1"/>
  <c r="AB99" i="12" s="1"/>
  <c r="AB100" i="12" s="1"/>
  <c r="AC44" i="12"/>
  <c r="Z29" i="12"/>
  <c r="AC79" i="12"/>
  <c r="AC19" i="12"/>
  <c r="AC54" i="12"/>
  <c r="AC26" i="12"/>
  <c r="Z65" i="12"/>
  <c r="Z37" i="12"/>
  <c r="Z47" i="12"/>
  <c r="Z38" i="12"/>
  <c r="Z102" i="12"/>
  <c r="AC48" i="12"/>
  <c r="Z95" i="12"/>
  <c r="AC90" i="12"/>
  <c r="AC33" i="12"/>
  <c r="Z30" i="12"/>
  <c r="AC59" i="12"/>
  <c r="AC102" i="12"/>
  <c r="Z59" i="12"/>
  <c r="AC98" i="12"/>
  <c r="AC31" i="12"/>
  <c r="AC97" i="12"/>
  <c r="Z83" i="12"/>
  <c r="AC83" i="12"/>
  <c r="Z43" i="12"/>
  <c r="Z92" i="12"/>
  <c r="AC69" i="12"/>
  <c r="AC24" i="12"/>
  <c r="Z93" i="12"/>
  <c r="AC34" i="12"/>
  <c r="Z50" i="12"/>
  <c r="Z51" i="12"/>
  <c r="AC4" i="12"/>
  <c r="Z21" i="12"/>
  <c r="Z105" i="12"/>
  <c r="Z85" i="12"/>
  <c r="AC35" i="12"/>
  <c r="Z72" i="12"/>
  <c r="AC37" i="12"/>
  <c r="Z46" i="12"/>
  <c r="Z84" i="12"/>
  <c r="AC101" i="12"/>
  <c r="AC77" i="12"/>
  <c r="AC71" i="12"/>
  <c r="Z61" i="12"/>
  <c r="Z20" i="12"/>
  <c r="Z62" i="12"/>
  <c r="AC49" i="12"/>
  <c r="Z26" i="12"/>
  <c r="Z4" i="12"/>
  <c r="AC13" i="12"/>
  <c r="Z73" i="12"/>
  <c r="Z70" i="12"/>
  <c r="AC61" i="12"/>
  <c r="AC25" i="12"/>
  <c r="AC107" i="12"/>
  <c r="Z103" i="12"/>
  <c r="Z76" i="12"/>
  <c r="Z79" i="12"/>
  <c r="Z107" i="12"/>
  <c r="Z96" i="12"/>
  <c r="AC8" i="12"/>
  <c r="AC42" i="12"/>
  <c r="AC92" i="12"/>
  <c r="Z63" i="12"/>
  <c r="Z49" i="12"/>
  <c r="AC27" i="12"/>
  <c r="AC56" i="12"/>
  <c r="AC20" i="12"/>
  <c r="AC68" i="12"/>
  <c r="AC86" i="12"/>
  <c r="Z81" i="12"/>
  <c r="G21" i="11"/>
  <c r="F21" i="11"/>
  <c r="A117" i="11"/>
  <c r="A133" i="11"/>
  <c r="A97" i="11"/>
  <c r="A381" i="11"/>
  <c r="C22" i="11"/>
  <c r="A81" i="11"/>
  <c r="A137" i="11"/>
  <c r="A165" i="11"/>
  <c r="A125" i="11"/>
  <c r="A249" i="11"/>
  <c r="A369" i="11"/>
  <c r="A285" i="11"/>
  <c r="A77" i="11"/>
  <c r="A85" i="11"/>
  <c r="A121" i="11"/>
  <c r="A69" i="11"/>
  <c r="A113" i="11"/>
  <c r="A89" i="11"/>
  <c r="A333" i="11"/>
  <c r="A49" i="11"/>
  <c r="A177" i="11"/>
  <c r="A145" i="11"/>
  <c r="A225" i="11"/>
  <c r="A237" i="11"/>
  <c r="A29" i="11"/>
  <c r="A189" i="11"/>
  <c r="A105" i="11"/>
  <c r="A153" i="11"/>
  <c r="A33" i="11"/>
  <c r="A273" i="11"/>
  <c r="A357" i="11"/>
  <c r="A141" i="11"/>
  <c r="A57" i="11"/>
  <c r="A129" i="11"/>
  <c r="A41" i="11"/>
  <c r="A345" i="11"/>
  <c r="A37" i="11"/>
  <c r="A213" i="11"/>
  <c r="A309" i="11"/>
  <c r="A261" i="11"/>
  <c r="A65" i="11"/>
  <c r="A297" i="11"/>
  <c r="A61" i="11"/>
  <c r="A45" i="11"/>
  <c r="A321" i="11"/>
  <c r="A93" i="11"/>
  <c r="A25" i="11"/>
  <c r="A201" i="11"/>
  <c r="A53" i="11"/>
  <c r="A101" i="11"/>
  <c r="A109" i="11"/>
  <c r="I21" i="11" l="1"/>
  <c r="C39" i="12" s="1"/>
  <c r="E39" i="12"/>
  <c r="C23" i="11"/>
  <c r="B39" i="12" l="1"/>
  <c r="H21" i="11"/>
  <c r="D39" i="12" s="1"/>
  <c r="J21" i="11"/>
  <c r="F39" i="12" s="1"/>
  <c r="C24" i="11"/>
  <c r="G22" i="11" l="1"/>
  <c r="E40" i="12" s="1"/>
  <c r="F22" i="11"/>
  <c r="C25" i="11"/>
  <c r="I22" i="11" l="1"/>
  <c r="C40" i="12" s="1"/>
  <c r="C26" i="11"/>
  <c r="B40" i="12" l="1"/>
  <c r="H22" i="11"/>
  <c r="D40" i="12" s="1"/>
  <c r="J22" i="11"/>
  <c r="F23" i="11" s="1"/>
  <c r="C27" i="11"/>
  <c r="F40" i="12" l="1"/>
  <c r="G23" i="11"/>
  <c r="E41" i="12" s="1"/>
  <c r="C28" i="11"/>
  <c r="I23" i="11" l="1"/>
  <c r="C41" i="12" s="1"/>
  <c r="B41" i="12" s="1"/>
  <c r="C29" i="11"/>
  <c r="H23" i="11" l="1"/>
  <c r="D41" i="12" s="1"/>
  <c r="J23" i="11"/>
  <c r="F41" i="12" s="1"/>
  <c r="C30" i="11"/>
  <c r="G24" i="11" l="1"/>
  <c r="E42" i="12" s="1"/>
  <c r="F24" i="11"/>
  <c r="C31" i="11"/>
  <c r="I24" i="11" l="1"/>
  <c r="C42" i="12" s="1"/>
  <c r="B42" i="12" s="1"/>
  <c r="C32" i="11"/>
  <c r="J24" i="11" l="1"/>
  <c r="G25" i="11" s="1"/>
  <c r="E43" i="12" s="1"/>
  <c r="H24" i="11"/>
  <c r="D42" i="12" s="1"/>
  <c r="C33" i="11"/>
  <c r="F25" i="11" l="1"/>
  <c r="F42" i="12"/>
  <c r="I25" i="11"/>
  <c r="C34" i="11"/>
  <c r="C43" i="12" l="1"/>
  <c r="B43" i="12" s="1"/>
  <c r="J25" i="11"/>
  <c r="F43" i="12" s="1"/>
  <c r="H25" i="11"/>
  <c r="D43" i="12" s="1"/>
  <c r="C35" i="11"/>
  <c r="F26" i="11" l="1"/>
  <c r="G26" i="11"/>
  <c r="E44" i="12" s="1"/>
  <c r="C36" i="11"/>
  <c r="I26" i="11" l="1"/>
  <c r="C44" i="12" s="1"/>
  <c r="B44" i="12" s="1"/>
  <c r="C37" i="11"/>
  <c r="H26" i="11" l="1"/>
  <c r="D44" i="12" s="1"/>
  <c r="J26" i="11"/>
  <c r="G27" i="11" s="1"/>
  <c r="E45" i="12" s="1"/>
  <c r="C38" i="11"/>
  <c r="F27" i="11" l="1"/>
  <c r="I27" i="11"/>
  <c r="F44" i="12"/>
  <c r="C39" i="11"/>
  <c r="C45" i="12" l="1"/>
  <c r="B45" i="12" s="1"/>
  <c r="H27" i="11"/>
  <c r="D45" i="12" s="1"/>
  <c r="J27" i="11"/>
  <c r="F45" i="12" s="1"/>
  <c r="C40" i="11"/>
  <c r="G28" i="11" l="1"/>
  <c r="F28" i="11"/>
  <c r="C41" i="11"/>
  <c r="E46" i="12" l="1"/>
  <c r="I28" i="11"/>
  <c r="C46" i="12" s="1"/>
  <c r="B46" i="12" s="1"/>
  <c r="C42" i="11"/>
  <c r="H28" i="11" l="1"/>
  <c r="D46" i="12" s="1"/>
  <c r="J28" i="11"/>
  <c r="C43" i="11"/>
  <c r="F46" i="12" l="1"/>
  <c r="F29" i="11"/>
  <c r="G29" i="11"/>
  <c r="C44" i="11"/>
  <c r="E47" i="12" l="1"/>
  <c r="I29" i="11"/>
  <c r="C47" i="12" s="1"/>
  <c r="B47" i="12" s="1"/>
  <c r="C45" i="11"/>
  <c r="H29" i="11" l="1"/>
  <c r="D47" i="12" s="1"/>
  <c r="J29" i="11"/>
  <c r="C46" i="11"/>
  <c r="F47" i="12" l="1"/>
  <c r="F30" i="11"/>
  <c r="G30" i="11"/>
  <c r="C47" i="11"/>
  <c r="E48" i="12" l="1"/>
  <c r="I30" i="11"/>
  <c r="C48" i="12" s="1"/>
  <c r="B48" i="12" s="1"/>
  <c r="C48" i="11"/>
  <c r="H30" i="11" l="1"/>
  <c r="D48" i="12" s="1"/>
  <c r="J30" i="11"/>
  <c r="C49" i="11"/>
  <c r="F48" i="12" l="1"/>
  <c r="G31" i="11"/>
  <c r="E49" i="12" s="1"/>
  <c r="F31" i="11"/>
  <c r="C50" i="11"/>
  <c r="I31" i="11" l="1"/>
  <c r="C49" i="12" s="1"/>
  <c r="B49" i="12" s="1"/>
  <c r="C51" i="11"/>
  <c r="H31" i="11" l="1"/>
  <c r="D49" i="12" s="1"/>
  <c r="J31" i="11"/>
  <c r="F49" i="12" s="1"/>
  <c r="C52" i="11"/>
  <c r="G32" i="11" l="1"/>
  <c r="E50" i="12" s="1"/>
  <c r="F32" i="11"/>
  <c r="C53" i="11"/>
  <c r="I32" i="11" l="1"/>
  <c r="C50" i="12" s="1"/>
  <c r="B50" i="12" s="1"/>
  <c r="H17" i="11"/>
  <c r="C54" i="11"/>
  <c r="H32" i="11" l="1"/>
  <c r="D50" i="12" s="1"/>
  <c r="J32" i="11"/>
  <c r="F50" i="12" s="1"/>
  <c r="H16" i="11"/>
  <c r="C55" i="11"/>
  <c r="G33" i="11" l="1"/>
  <c r="E51" i="12" s="1"/>
  <c r="F33" i="11"/>
  <c r="I33" i="11"/>
  <c r="C51" i="12" s="1"/>
  <c r="B51" i="12" s="1"/>
  <c r="C56" i="11"/>
  <c r="H33" i="11" l="1"/>
  <c r="D51" i="12" s="1"/>
  <c r="J33" i="11"/>
  <c r="F51" i="12" s="1"/>
  <c r="C57" i="11"/>
  <c r="F34" i="11" l="1"/>
  <c r="G34" i="11"/>
  <c r="E52" i="12" s="1"/>
  <c r="C58" i="11"/>
  <c r="I34" i="11" l="1"/>
  <c r="C52" i="12" s="1"/>
  <c r="B52" i="12" s="1"/>
  <c r="C59" i="11"/>
  <c r="J34" i="11" l="1"/>
  <c r="F35" i="11" s="1"/>
  <c r="H34" i="11"/>
  <c r="D52" i="12" s="1"/>
  <c r="C60" i="11"/>
  <c r="F52" i="12" l="1"/>
  <c r="G35" i="11"/>
  <c r="C61" i="11"/>
  <c r="E53" i="12" l="1"/>
  <c r="I35" i="11"/>
  <c r="H35" i="11" s="1"/>
  <c r="D53" i="12" s="1"/>
  <c r="C62" i="11"/>
  <c r="C53" i="12" l="1"/>
  <c r="B53" i="12" s="1"/>
  <c r="J35" i="11"/>
  <c r="C63" i="11"/>
  <c r="F36" i="11" l="1"/>
  <c r="F53" i="12"/>
  <c r="G36" i="11"/>
  <c r="C64" i="11"/>
  <c r="E54" i="12" l="1"/>
  <c r="I36" i="11"/>
  <c r="H36" i="11" s="1"/>
  <c r="D54" i="12" s="1"/>
  <c r="C65" i="11"/>
  <c r="J36" i="11" l="1"/>
  <c r="C54" i="12"/>
  <c r="B54" i="12" s="1"/>
  <c r="C66" i="11"/>
  <c r="F37" i="11" l="1"/>
  <c r="G37" i="11"/>
  <c r="F54" i="12"/>
  <c r="C67" i="11"/>
  <c r="E55" i="12" l="1"/>
  <c r="I37" i="11"/>
  <c r="C68" i="11"/>
  <c r="J37" i="11" l="1"/>
  <c r="F38" i="11" s="1"/>
  <c r="H37" i="11"/>
  <c r="D55" i="12" s="1"/>
  <c r="C55" i="12"/>
  <c r="B55" i="12" s="1"/>
  <c r="C69" i="11"/>
  <c r="G38" i="11" l="1"/>
  <c r="E56" i="12" s="1"/>
  <c r="F55" i="12"/>
  <c r="I38" i="11"/>
  <c r="C70" i="11"/>
  <c r="J38" i="11" l="1"/>
  <c r="G39" i="11" s="1"/>
  <c r="H38" i="11"/>
  <c r="D56" i="12" s="1"/>
  <c r="C56" i="12"/>
  <c r="B56" i="12" s="1"/>
  <c r="C71" i="11"/>
  <c r="F39" i="11" l="1"/>
  <c r="F56" i="12"/>
  <c r="E57" i="12"/>
  <c r="I39" i="11"/>
  <c r="C72" i="11"/>
  <c r="H39" i="11" l="1"/>
  <c r="D57" i="12" s="1"/>
  <c r="J39" i="11"/>
  <c r="C57" i="12"/>
  <c r="B57" i="12" s="1"/>
  <c r="C73" i="11"/>
  <c r="F57" i="12" l="1"/>
  <c r="G40" i="11"/>
  <c r="F40" i="11"/>
  <c r="C74" i="11"/>
  <c r="E58" i="12" l="1"/>
  <c r="I40" i="11"/>
  <c r="H40" i="11" s="1"/>
  <c r="D58" i="12" s="1"/>
  <c r="C75" i="11"/>
  <c r="C58" i="12" l="1"/>
  <c r="B58" i="12" s="1"/>
  <c r="J40" i="11"/>
  <c r="C76" i="11"/>
  <c r="F58" i="12" l="1"/>
  <c r="F41" i="11"/>
  <c r="G41" i="11"/>
  <c r="E59" i="12" s="1"/>
  <c r="C77" i="11"/>
  <c r="I41" i="11" l="1"/>
  <c r="J41" i="11" s="1"/>
  <c r="G42" i="11" s="1"/>
  <c r="E60" i="12" s="1"/>
  <c r="C78" i="11"/>
  <c r="H41" i="11" l="1"/>
  <c r="D59" i="12" s="1"/>
  <c r="C59" i="12"/>
  <c r="B59" i="12" s="1"/>
  <c r="F59" i="12"/>
  <c r="F42" i="11"/>
  <c r="I42" i="11"/>
  <c r="J42" i="11" s="1"/>
  <c r="F60" i="12" s="1"/>
  <c r="C79" i="11"/>
  <c r="C60" i="12" l="1"/>
  <c r="B60" i="12" s="1"/>
  <c r="H42" i="11"/>
  <c r="D60" i="12" s="1"/>
  <c r="F43" i="11"/>
  <c r="G43" i="11"/>
  <c r="E61" i="12" s="1"/>
  <c r="C80" i="11"/>
  <c r="I43" i="11" l="1"/>
  <c r="H43" i="11" s="1"/>
  <c r="D61" i="12" s="1"/>
  <c r="C81" i="11"/>
  <c r="J43" i="11" l="1"/>
  <c r="G44" i="11" s="1"/>
  <c r="E62" i="12" s="1"/>
  <c r="C61" i="12"/>
  <c r="B61" i="12" s="1"/>
  <c r="C82" i="11"/>
  <c r="F61" i="12" l="1"/>
  <c r="F44" i="11"/>
  <c r="I44" i="11"/>
  <c r="H44" i="11" s="1"/>
  <c r="D62" i="12" s="1"/>
  <c r="C83" i="11"/>
  <c r="J44" i="11" l="1"/>
  <c r="F45" i="11" s="1"/>
  <c r="C62" i="12"/>
  <c r="B62" i="12" s="1"/>
  <c r="C84" i="11"/>
  <c r="G45" i="11" l="1"/>
  <c r="E63" i="12" s="1"/>
  <c r="F62" i="12"/>
  <c r="I45" i="11"/>
  <c r="C85" i="11"/>
  <c r="H45" i="11" l="1"/>
  <c r="D63" i="12" s="1"/>
  <c r="J45" i="11"/>
  <c r="C63" i="12"/>
  <c r="B63" i="12" s="1"/>
  <c r="C86" i="11"/>
  <c r="G46" i="11" l="1"/>
  <c r="E64" i="12" s="1"/>
  <c r="I46" i="11"/>
  <c r="F63" i="12"/>
  <c r="F46" i="11"/>
  <c r="C87" i="11"/>
  <c r="H46" i="11" l="1"/>
  <c r="D64" i="12" s="1"/>
  <c r="J46" i="11"/>
  <c r="F64" i="12" s="1"/>
  <c r="C64" i="12"/>
  <c r="B64" i="12" s="1"/>
  <c r="C88" i="11"/>
  <c r="F47" i="11" l="1"/>
  <c r="G47" i="11"/>
  <c r="E65" i="12" s="1"/>
  <c r="I47" i="11"/>
  <c r="C89" i="11"/>
  <c r="H47" i="11" l="1"/>
  <c r="D65" i="12" s="1"/>
  <c r="C65" i="12"/>
  <c r="B65" i="12" s="1"/>
  <c r="J47" i="11"/>
  <c r="C90" i="11"/>
  <c r="G48" i="11" l="1"/>
  <c r="F65" i="12"/>
  <c r="F48" i="11"/>
  <c r="I48" i="11"/>
  <c r="C91" i="11"/>
  <c r="J48" i="11" l="1"/>
  <c r="C66" i="12"/>
  <c r="B66" i="12" s="1"/>
  <c r="H48" i="11"/>
  <c r="D66" i="12" s="1"/>
  <c r="E66" i="12"/>
  <c r="C92" i="11"/>
  <c r="G49" i="11" l="1"/>
  <c r="E67" i="12" s="1"/>
  <c r="I49" i="11"/>
  <c r="F49" i="11"/>
  <c r="F66" i="12"/>
  <c r="C93" i="11"/>
  <c r="H49" i="11" l="1"/>
  <c r="D67" i="12" s="1"/>
  <c r="J49" i="11"/>
  <c r="C67" i="12"/>
  <c r="B67" i="12" s="1"/>
  <c r="C94" i="11"/>
  <c r="F50" i="11" l="1"/>
  <c r="G50" i="11"/>
  <c r="E68" i="12" s="1"/>
  <c r="I50" i="11"/>
  <c r="F67" i="12"/>
  <c r="C95" i="11"/>
  <c r="H50" i="11" l="1"/>
  <c r="D68" i="12" s="1"/>
  <c r="J50" i="11"/>
  <c r="C68" i="12"/>
  <c r="B68" i="12" s="1"/>
  <c r="C96" i="11"/>
  <c r="F68" i="12" l="1"/>
  <c r="I51" i="11"/>
  <c r="G51" i="11"/>
  <c r="E69" i="12" s="1"/>
  <c r="F51" i="11"/>
  <c r="C97" i="11"/>
  <c r="C69" i="12" l="1"/>
  <c r="B69" i="12" s="1"/>
  <c r="H51" i="11"/>
  <c r="D69" i="12" s="1"/>
  <c r="J51" i="11"/>
  <c r="C98" i="11"/>
  <c r="F69" i="12" l="1"/>
  <c r="I52" i="11"/>
  <c r="G52" i="11"/>
  <c r="E70" i="12" s="1"/>
  <c r="F52" i="11"/>
  <c r="C99" i="11"/>
  <c r="J52" i="11" l="1"/>
  <c r="F70" i="12" s="1"/>
  <c r="C70" i="12"/>
  <c r="B70" i="12" s="1"/>
  <c r="H52" i="11"/>
  <c r="D70" i="12" s="1"/>
  <c r="C100" i="11"/>
  <c r="G53" i="11" l="1"/>
  <c r="E71" i="12" s="1"/>
  <c r="I53" i="11"/>
  <c r="C71" i="12" s="1"/>
  <c r="B71" i="12" s="1"/>
  <c r="F53" i="11"/>
  <c r="C101" i="11"/>
  <c r="H53" i="11" l="1"/>
  <c r="D71" i="12" s="1"/>
  <c r="J53" i="11"/>
  <c r="F71" i="12" s="1"/>
  <c r="C102" i="11"/>
  <c r="G54" i="11" l="1"/>
  <c r="E72" i="12" s="1"/>
  <c r="I54" i="11"/>
  <c r="C72" i="12" s="1"/>
  <c r="B72" i="12" s="1"/>
  <c r="F54" i="11"/>
  <c r="C103" i="11"/>
  <c r="H54" i="11" l="1"/>
  <c r="D72" i="12" s="1"/>
  <c r="J54" i="11"/>
  <c r="I55" i="11" s="1"/>
  <c r="C104" i="11"/>
  <c r="F55" i="11" l="1"/>
  <c r="J55" i="11" s="1"/>
  <c r="G55" i="11"/>
  <c r="E73" i="12" s="1"/>
  <c r="F72" i="12"/>
  <c r="C73" i="12" s="1"/>
  <c r="B73" i="12" s="1"/>
  <c r="C105" i="11"/>
  <c r="H55" i="11" l="1"/>
  <c r="D73" i="12" s="1"/>
  <c r="F73" i="12"/>
  <c r="F56" i="11"/>
  <c r="I56" i="11"/>
  <c r="C74" i="12" s="1"/>
  <c r="B74" i="12" s="1"/>
  <c r="G56" i="11"/>
  <c r="E74" i="12" s="1"/>
  <c r="C106" i="11"/>
  <c r="H56" i="11" l="1"/>
  <c r="D74" i="12" s="1"/>
  <c r="J56" i="11"/>
  <c r="G57" i="11" s="1"/>
  <c r="E75" i="12" s="1"/>
  <c r="I57" i="11"/>
  <c r="H57" i="11" s="1"/>
  <c r="D75" i="12" s="1"/>
  <c r="C107" i="11"/>
  <c r="F57" i="11" l="1"/>
  <c r="F74" i="12"/>
  <c r="C75" i="12" s="1"/>
  <c r="B75" i="12" s="1"/>
  <c r="J57" i="11"/>
  <c r="F75" i="12" s="1"/>
  <c r="C108" i="11"/>
  <c r="F58" i="11" l="1"/>
  <c r="I58" i="11"/>
  <c r="G58" i="11"/>
  <c r="E76" i="12" s="1"/>
  <c r="C109" i="11"/>
  <c r="J58" i="11" l="1"/>
  <c r="I59" i="11" s="1"/>
  <c r="C76" i="12"/>
  <c r="B76" i="12" s="1"/>
  <c r="H58" i="11"/>
  <c r="D76" i="12" s="1"/>
  <c r="C110" i="11"/>
  <c r="F59" i="11" l="1"/>
  <c r="J59" i="11" s="1"/>
  <c r="F76" i="12"/>
  <c r="C77" i="12" s="1"/>
  <c r="B77" i="12" s="1"/>
  <c r="G59" i="11"/>
  <c r="E77" i="12" s="1"/>
  <c r="C111" i="11"/>
  <c r="F60" i="11" l="1"/>
  <c r="G60" i="11"/>
  <c r="E78" i="12" s="1"/>
  <c r="F77" i="12"/>
  <c r="I60" i="11"/>
  <c r="H59" i="11"/>
  <c r="D77" i="12" s="1"/>
  <c r="C112" i="11"/>
  <c r="J60" i="11" l="1"/>
  <c r="F61" i="11" s="1"/>
  <c r="C78" i="12"/>
  <c r="B78" i="12" s="1"/>
  <c r="H60" i="11"/>
  <c r="D78" i="12" s="1"/>
  <c r="C113" i="11"/>
  <c r="I61" i="11" l="1"/>
  <c r="J61" i="11" s="1"/>
  <c r="I62" i="11" s="1"/>
  <c r="G61" i="11"/>
  <c r="E79" i="12" s="1"/>
  <c r="F78" i="12"/>
  <c r="C114" i="11"/>
  <c r="C79" i="12" l="1"/>
  <c r="B79" i="12" s="1"/>
  <c r="H61" i="11"/>
  <c r="D79" i="12" s="1"/>
  <c r="F79" i="12"/>
  <c r="C80" i="12" s="1"/>
  <c r="B80" i="12" s="1"/>
  <c r="F62" i="11"/>
  <c r="J62" i="11" s="1"/>
  <c r="G62" i="11"/>
  <c r="E80" i="12" s="1"/>
  <c r="C115" i="11"/>
  <c r="F63" i="11" l="1"/>
  <c r="G63" i="11"/>
  <c r="E81" i="12" s="1"/>
  <c r="F80" i="12"/>
  <c r="H62" i="11"/>
  <c r="D80" i="12" s="1"/>
  <c r="C116" i="11"/>
  <c r="I63" i="11" l="1"/>
  <c r="J63" i="11" s="1"/>
  <c r="F81" i="12" s="1"/>
  <c r="C117" i="11"/>
  <c r="H63" i="11" l="1"/>
  <c r="D81" i="12" s="1"/>
  <c r="C81" i="12"/>
  <c r="B81" i="12" s="1"/>
  <c r="F64" i="11"/>
  <c r="G64" i="11"/>
  <c r="E82" i="12" s="1"/>
  <c r="C118" i="11"/>
  <c r="I64" i="11" l="1"/>
  <c r="H64" i="11" s="1"/>
  <c r="D82" i="12" s="1"/>
  <c r="C119" i="11"/>
  <c r="J64" i="11" l="1"/>
  <c r="F82" i="12" s="1"/>
  <c r="C82" i="12"/>
  <c r="B82" i="12" s="1"/>
  <c r="C120" i="11"/>
  <c r="G65" i="11" l="1"/>
  <c r="E83" i="12" s="1"/>
  <c r="F65" i="11"/>
  <c r="I65" i="11"/>
  <c r="C83" i="12" s="1"/>
  <c r="B83" i="12" s="1"/>
  <c r="C121" i="11"/>
  <c r="H65" i="11" l="1"/>
  <c r="D83" i="12" s="1"/>
  <c r="J65" i="11"/>
  <c r="G66" i="11" s="1"/>
  <c r="E84" i="12" s="1"/>
  <c r="C122" i="11"/>
  <c r="F83" i="12" l="1"/>
  <c r="F66" i="11"/>
  <c r="I66" i="11"/>
  <c r="H66" i="11" s="1"/>
  <c r="D84" i="12" s="1"/>
  <c r="C123" i="11"/>
  <c r="J66" i="11" l="1"/>
  <c r="F84" i="12" s="1"/>
  <c r="C84" i="12"/>
  <c r="B84" i="12" s="1"/>
  <c r="C124" i="11"/>
  <c r="G67" i="11" l="1"/>
  <c r="E85" i="12" s="1"/>
  <c r="F67" i="11"/>
  <c r="I67" i="11"/>
  <c r="C85" i="12" s="1"/>
  <c r="B85" i="12" s="1"/>
  <c r="C125" i="11"/>
  <c r="H67" i="11" l="1"/>
  <c r="D85" i="12" s="1"/>
  <c r="J67" i="11"/>
  <c r="C126" i="11"/>
  <c r="G68" i="11" l="1"/>
  <c r="E86" i="12" s="1"/>
  <c r="F85" i="12"/>
  <c r="I68" i="11"/>
  <c r="F68" i="11"/>
  <c r="C127" i="11"/>
  <c r="H68" i="11" l="1"/>
  <c r="D86" i="12" s="1"/>
  <c r="C86" i="12"/>
  <c r="B86" i="12" s="1"/>
  <c r="J68" i="11"/>
  <c r="C128" i="11"/>
  <c r="G69" i="11" l="1"/>
  <c r="E87" i="12" s="1"/>
  <c r="F86" i="12"/>
  <c r="F69" i="11"/>
  <c r="I69" i="11"/>
  <c r="C129" i="11"/>
  <c r="C87" i="12" l="1"/>
  <c r="B87" i="12" s="1"/>
  <c r="J69" i="11"/>
  <c r="H69" i="11"/>
  <c r="D87" i="12" s="1"/>
  <c r="C130" i="11"/>
  <c r="G70" i="11" l="1"/>
  <c r="E88" i="12" s="1"/>
  <c r="I70" i="11"/>
  <c r="F87" i="12"/>
  <c r="F70" i="11"/>
  <c r="C131" i="11"/>
  <c r="H70" i="11" l="1"/>
  <c r="D88" i="12" s="1"/>
  <c r="J70" i="11"/>
  <c r="C88" i="12"/>
  <c r="B88" i="12" s="1"/>
  <c r="C132" i="11"/>
  <c r="F71" i="11" l="1"/>
  <c r="F88" i="12"/>
  <c r="G71" i="11"/>
  <c r="E89" i="12" s="1"/>
  <c r="I71" i="11"/>
  <c r="C133" i="11"/>
  <c r="J71" i="11" l="1"/>
  <c r="H71" i="11"/>
  <c r="D89" i="12" s="1"/>
  <c r="C89" i="12"/>
  <c r="B89" i="12" s="1"/>
  <c r="C134" i="11"/>
  <c r="G72" i="11" l="1"/>
  <c r="E90" i="12" s="1"/>
  <c r="F89" i="12"/>
  <c r="F72" i="11"/>
  <c r="I72" i="11"/>
  <c r="C135" i="11"/>
  <c r="C90" i="12" l="1"/>
  <c r="B90" i="12" s="1"/>
  <c r="H72" i="11"/>
  <c r="D90" i="12" s="1"/>
  <c r="J72" i="11"/>
  <c r="C136" i="11"/>
  <c r="F73" i="11" l="1"/>
  <c r="F90" i="12"/>
  <c r="I73" i="11"/>
  <c r="G73" i="11"/>
  <c r="E91" i="12" s="1"/>
  <c r="C137" i="11"/>
  <c r="C91" i="12" l="1"/>
  <c r="B91" i="12" s="1"/>
  <c r="H73" i="11"/>
  <c r="D91" i="12" s="1"/>
  <c r="J73" i="11"/>
  <c r="C138" i="11"/>
  <c r="F91" i="12" l="1"/>
  <c r="I74" i="11"/>
  <c r="G74" i="11"/>
  <c r="E92" i="12" s="1"/>
  <c r="F74" i="11"/>
  <c r="C139" i="11"/>
  <c r="H74" i="11" l="1"/>
  <c r="D92" i="12" s="1"/>
  <c r="J74" i="11"/>
  <c r="C92" i="12"/>
  <c r="B92" i="12" s="1"/>
  <c r="C140" i="11"/>
  <c r="F92" i="12" l="1"/>
  <c r="G75" i="11"/>
  <c r="E93" i="12" s="1"/>
  <c r="F75" i="11"/>
  <c r="I75" i="11"/>
  <c r="C141" i="11"/>
  <c r="H75" i="11" l="1"/>
  <c r="D93" i="12" s="1"/>
  <c r="J75" i="11"/>
  <c r="C93" i="12"/>
  <c r="B93" i="12" s="1"/>
  <c r="C142" i="11"/>
  <c r="F76" i="11" l="1"/>
  <c r="G76" i="11"/>
  <c r="E94" i="12" s="1"/>
  <c r="F93" i="12"/>
  <c r="I76" i="11"/>
  <c r="C143" i="11"/>
  <c r="C94" i="12" l="1"/>
  <c r="B94" i="12" s="1"/>
  <c r="H76" i="11"/>
  <c r="D94" i="12" s="1"/>
  <c r="J76" i="11"/>
  <c r="C144" i="11"/>
  <c r="F94" i="12" l="1"/>
  <c r="F77" i="11"/>
  <c r="I77" i="11"/>
  <c r="G77" i="11"/>
  <c r="E95" i="12" s="1"/>
  <c r="C145" i="11"/>
  <c r="C95" i="12" l="1"/>
  <c r="B95" i="12" s="1"/>
  <c r="H77" i="11"/>
  <c r="D95" i="12" s="1"/>
  <c r="J77" i="11"/>
  <c r="C146" i="11"/>
  <c r="F95" i="12" l="1"/>
  <c r="G78" i="11"/>
  <c r="E96" i="12" s="1"/>
  <c r="I78" i="11"/>
  <c r="F78" i="11"/>
  <c r="C147" i="11"/>
  <c r="J78" i="11" l="1"/>
  <c r="H78" i="11"/>
  <c r="D96" i="12" s="1"/>
  <c r="C96" i="12"/>
  <c r="B96" i="12" s="1"/>
  <c r="C148" i="11"/>
  <c r="F96" i="12" l="1"/>
  <c r="I79" i="11"/>
  <c r="F79" i="11"/>
  <c r="G79" i="11"/>
  <c r="E97" i="12" s="1"/>
  <c r="C149" i="11"/>
  <c r="J79" i="11" l="1"/>
  <c r="H79" i="11"/>
  <c r="D97" i="12" s="1"/>
  <c r="C97" i="12"/>
  <c r="B97" i="12" s="1"/>
  <c r="C150" i="11"/>
  <c r="G80" i="11" l="1"/>
  <c r="E98" i="12" s="1"/>
  <c r="I80" i="11"/>
  <c r="F97" i="12"/>
  <c r="F80" i="11"/>
  <c r="C151" i="11"/>
  <c r="J80" i="11" l="1"/>
  <c r="I81" i="11" s="1"/>
  <c r="G81" i="11"/>
  <c r="E99" i="12" s="1"/>
  <c r="F81" i="11"/>
  <c r="C98" i="12"/>
  <c r="B98" i="12" s="1"/>
  <c r="H80" i="11"/>
  <c r="D98" i="12" s="1"/>
  <c r="C152" i="11"/>
  <c r="F98" i="12" l="1"/>
  <c r="C99" i="12" s="1"/>
  <c r="B99" i="12" s="1"/>
  <c r="J81" i="11"/>
  <c r="H81" i="11"/>
  <c r="D99" i="12" s="1"/>
  <c r="F99" i="12"/>
  <c r="G82" i="11"/>
  <c r="E100" i="12" s="1"/>
  <c r="I82" i="11"/>
  <c r="H82" i="11" s="1"/>
  <c r="D100" i="12" s="1"/>
  <c r="F82" i="11"/>
  <c r="C153" i="11"/>
  <c r="C100" i="12" l="1"/>
  <c r="B100" i="12" s="1"/>
  <c r="J82" i="11"/>
  <c r="C154" i="11"/>
  <c r="F100" i="12" l="1"/>
  <c r="G83" i="11"/>
  <c r="E101" i="12" s="1"/>
  <c r="F83" i="11"/>
  <c r="I83" i="11"/>
  <c r="C155" i="11"/>
  <c r="C101" i="12" l="1"/>
  <c r="B101" i="12" s="1"/>
  <c r="J83" i="11"/>
  <c r="H83" i="11"/>
  <c r="D101" i="12" s="1"/>
  <c r="C156" i="11"/>
  <c r="G84" i="11" l="1"/>
  <c r="E102" i="12" s="1"/>
  <c r="I84" i="11"/>
  <c r="F84" i="11"/>
  <c r="F101" i="12"/>
  <c r="C157" i="11"/>
  <c r="C102" i="12" l="1"/>
  <c r="B102" i="12" s="1"/>
  <c r="H84" i="11"/>
  <c r="D102" i="12" s="1"/>
  <c r="J84" i="11"/>
  <c r="F102" i="12" s="1"/>
  <c r="I85" i="11"/>
  <c r="C158" i="11"/>
  <c r="G85" i="11" l="1"/>
  <c r="E103" i="12" s="1"/>
  <c r="F85" i="11"/>
  <c r="J85" i="11" s="1"/>
  <c r="C103" i="12"/>
  <c r="B103" i="12" s="1"/>
  <c r="H85" i="11"/>
  <c r="D103" i="12" s="1"/>
  <c r="C159" i="11"/>
  <c r="F103" i="12" l="1"/>
  <c r="G86" i="11"/>
  <c r="E104" i="12" s="1"/>
  <c r="I86" i="11"/>
  <c r="F86" i="11"/>
  <c r="C160" i="11"/>
  <c r="H86" i="11" l="1"/>
  <c r="D104" i="12" s="1"/>
  <c r="C104" i="12"/>
  <c r="B104" i="12" s="1"/>
  <c r="J86" i="11"/>
  <c r="C161" i="11"/>
  <c r="F87" i="11" l="1"/>
  <c r="F104" i="12"/>
  <c r="G87" i="11"/>
  <c r="E105" i="12" s="1"/>
  <c r="I87" i="11"/>
  <c r="H87" i="11" s="1"/>
  <c r="D105" i="12" s="1"/>
  <c r="C162" i="11"/>
  <c r="C105" i="12" l="1"/>
  <c r="B105" i="12" s="1"/>
  <c r="J87" i="11"/>
  <c r="C163" i="11"/>
  <c r="I88" i="11" l="1"/>
  <c r="F105" i="12"/>
  <c r="F88" i="11"/>
  <c r="G88" i="11"/>
  <c r="E106" i="12" s="1"/>
  <c r="C164" i="11"/>
  <c r="C106" i="12" l="1"/>
  <c r="B106" i="12" s="1"/>
  <c r="J88" i="11"/>
  <c r="F106" i="12" s="1"/>
  <c r="G89" i="11"/>
  <c r="E107" i="12" s="1"/>
  <c r="F89" i="11"/>
  <c r="H88" i="11"/>
  <c r="D106" i="12" s="1"/>
  <c r="C165" i="11"/>
  <c r="I89" i="11" l="1"/>
  <c r="H89" i="11" s="1"/>
  <c r="D107" i="12" s="1"/>
  <c r="C166" i="11"/>
  <c r="C107" i="12" l="1"/>
  <c r="B107" i="12" s="1"/>
  <c r="J89" i="11"/>
  <c r="C167" i="11"/>
  <c r="F90" i="11" l="1"/>
  <c r="I90" i="11"/>
  <c r="G90" i="11"/>
  <c r="E108" i="12" s="1"/>
  <c r="F107" i="12"/>
  <c r="C168" i="11"/>
  <c r="C108" i="12" l="1"/>
  <c r="B108" i="12" s="1"/>
  <c r="J90" i="11"/>
  <c r="H90" i="11"/>
  <c r="D108" i="12" s="1"/>
  <c r="C169" i="11"/>
  <c r="G91" i="11" l="1"/>
  <c r="E109" i="12" s="1"/>
  <c r="F91" i="11"/>
  <c r="I91" i="11"/>
  <c r="F108" i="12"/>
  <c r="C170" i="11"/>
  <c r="C109" i="12" l="1"/>
  <c r="B109" i="12" s="1"/>
  <c r="J91" i="11"/>
  <c r="H91" i="11"/>
  <c r="D109" i="12" s="1"/>
  <c r="C171" i="11"/>
  <c r="I92" i="11" l="1"/>
  <c r="F109" i="12"/>
  <c r="F92" i="11"/>
  <c r="G92" i="11"/>
  <c r="E110" i="12" s="1"/>
  <c r="C172" i="11"/>
  <c r="C110" i="12" l="1"/>
  <c r="B110" i="12" s="1"/>
  <c r="J92" i="11"/>
  <c r="H92" i="11"/>
  <c r="D110" i="12" s="1"/>
  <c r="C173" i="11"/>
  <c r="F93" i="11" l="1"/>
  <c r="G93" i="11"/>
  <c r="E111" i="12" s="1"/>
  <c r="F110" i="12"/>
  <c r="I93" i="11"/>
  <c r="C174" i="11"/>
  <c r="C111" i="12" l="1"/>
  <c r="B111" i="12" s="1"/>
  <c r="J93" i="11"/>
  <c r="H93" i="11"/>
  <c r="D111" i="12" s="1"/>
  <c r="C175" i="11"/>
  <c r="F94" i="11" l="1"/>
  <c r="G94" i="11"/>
  <c r="E112" i="12" s="1"/>
  <c r="F111" i="12"/>
  <c r="I94" i="11"/>
  <c r="C176" i="11"/>
  <c r="H94" i="11" l="1"/>
  <c r="D112" i="12" s="1"/>
  <c r="C112" i="12"/>
  <c r="B112" i="12" s="1"/>
  <c r="J94" i="11"/>
  <c r="C177" i="11"/>
  <c r="G95" i="11" l="1"/>
  <c r="E113" i="12" s="1"/>
  <c r="F95" i="11"/>
  <c r="I95" i="11"/>
  <c r="F112" i="12"/>
  <c r="C178" i="11"/>
  <c r="H95" i="11" l="1"/>
  <c r="D113" i="12" s="1"/>
  <c r="C113" i="12"/>
  <c r="B113" i="12" s="1"/>
  <c r="J95" i="11"/>
  <c r="C179" i="11"/>
  <c r="F113" i="12" l="1"/>
  <c r="F96" i="11"/>
  <c r="I96" i="11"/>
  <c r="G96" i="11"/>
  <c r="E114" i="12" s="1"/>
  <c r="C180" i="11"/>
  <c r="C114" i="12" l="1"/>
  <c r="B114" i="12" s="1"/>
  <c r="H96" i="11"/>
  <c r="D114" i="12" s="1"/>
  <c r="J96" i="11"/>
  <c r="C181" i="11"/>
  <c r="F97" i="11" l="1"/>
  <c r="G97" i="11"/>
  <c r="E115" i="12" s="1"/>
  <c r="F114" i="12"/>
  <c r="I97" i="11"/>
  <c r="H97" i="11" s="1"/>
  <c r="D115" i="12" s="1"/>
  <c r="C182" i="11"/>
  <c r="C115" i="12" l="1"/>
  <c r="B115" i="12" s="1"/>
  <c r="J97" i="11"/>
  <c r="C183" i="11"/>
  <c r="F98" i="11" l="1"/>
  <c r="I98" i="11"/>
  <c r="G98" i="11"/>
  <c r="E116" i="12" s="1"/>
  <c r="F115" i="12"/>
  <c r="C184" i="11"/>
  <c r="C116" i="12" l="1"/>
  <c r="B116" i="12" s="1"/>
  <c r="H98" i="11"/>
  <c r="D116" i="12" s="1"/>
  <c r="J98" i="11"/>
  <c r="C185" i="11"/>
  <c r="F116" i="12" l="1"/>
  <c r="I99" i="11"/>
  <c r="G99" i="11"/>
  <c r="E117" i="12" s="1"/>
  <c r="F99" i="11"/>
  <c r="C186" i="11"/>
  <c r="J99" i="11" l="1"/>
  <c r="G100" i="11" s="1"/>
  <c r="E118" i="12" s="1"/>
  <c r="C117" i="12"/>
  <c r="B117" i="12" s="1"/>
  <c r="I100" i="11"/>
  <c r="H99" i="11"/>
  <c r="D117" i="12" s="1"/>
  <c r="C187" i="11"/>
  <c r="H100" i="11" l="1"/>
  <c r="D118" i="12" s="1"/>
  <c r="F100" i="11"/>
  <c r="J100" i="11" s="1"/>
  <c r="F117" i="12"/>
  <c r="C118" i="12" s="1"/>
  <c r="B118" i="12" s="1"/>
  <c r="C188" i="11"/>
  <c r="F118" i="12" l="1"/>
  <c r="I101" i="11"/>
  <c r="F101" i="11"/>
  <c r="G101" i="11"/>
  <c r="E119" i="12" s="1"/>
  <c r="C189" i="11"/>
  <c r="C119" i="12" l="1"/>
  <c r="B119" i="12" s="1"/>
  <c r="H101" i="11"/>
  <c r="D119" i="12" s="1"/>
  <c r="J101" i="11"/>
  <c r="C190" i="11"/>
  <c r="F119" i="12" l="1"/>
  <c r="F102" i="11"/>
  <c r="G102" i="11"/>
  <c r="E120" i="12" s="1"/>
  <c r="I102" i="11"/>
  <c r="C191" i="11"/>
  <c r="C120" i="12" l="1"/>
  <c r="B120" i="12" s="1"/>
  <c r="H102" i="11"/>
  <c r="D120" i="12" s="1"/>
  <c r="J102" i="11"/>
  <c r="C192" i="11"/>
  <c r="F120" i="12" l="1"/>
  <c r="G103" i="11"/>
  <c r="E121" i="12" s="1"/>
  <c r="I103" i="11"/>
  <c r="F103" i="11"/>
  <c r="C193" i="11"/>
  <c r="C121" i="12" l="1"/>
  <c r="B121" i="12" s="1"/>
  <c r="H103" i="11"/>
  <c r="D121" i="12" s="1"/>
  <c r="J103" i="11"/>
  <c r="C194" i="11"/>
  <c r="G104" i="11" l="1"/>
  <c r="E122" i="12" s="1"/>
  <c r="F104" i="11"/>
  <c r="I104" i="11"/>
  <c r="F121" i="12"/>
  <c r="C195" i="11"/>
  <c r="H104" i="11" l="1"/>
  <c r="D122" i="12" s="1"/>
  <c r="C122" i="12"/>
  <c r="B122" i="12" s="1"/>
  <c r="J104" i="11"/>
  <c r="C196" i="11"/>
  <c r="G105" i="11" l="1"/>
  <c r="E123" i="12" s="1"/>
  <c r="F105" i="11"/>
  <c r="I105" i="11"/>
  <c r="F122" i="12"/>
  <c r="C197" i="11"/>
  <c r="C123" i="12" l="1"/>
  <c r="B123" i="12" s="1"/>
  <c r="H105" i="11"/>
  <c r="D123" i="12" s="1"/>
  <c r="J105" i="11"/>
  <c r="C198" i="11"/>
  <c r="G106" i="11" l="1"/>
  <c r="E124" i="12" s="1"/>
  <c r="F123" i="12"/>
  <c r="F106" i="11"/>
  <c r="I106" i="11"/>
  <c r="C199" i="11"/>
  <c r="C124" i="12" l="1"/>
  <c r="B124" i="12" s="1"/>
  <c r="H106" i="11"/>
  <c r="D124" i="12" s="1"/>
  <c r="J106" i="11"/>
  <c r="C200" i="11"/>
  <c r="G107" i="11" l="1"/>
  <c r="E125" i="12" s="1"/>
  <c r="I107" i="11"/>
  <c r="F107" i="11"/>
  <c r="F124" i="12"/>
  <c r="C201" i="11"/>
  <c r="H107" i="11" l="1"/>
  <c r="D125" i="12" s="1"/>
  <c r="C125" i="12"/>
  <c r="B125" i="12" s="1"/>
  <c r="J107" i="11"/>
  <c r="C202" i="11"/>
  <c r="G108" i="11" l="1"/>
  <c r="E126" i="12" s="1"/>
  <c r="F125" i="12"/>
  <c r="I108" i="11"/>
  <c r="F108" i="11"/>
  <c r="C203" i="11"/>
  <c r="H108" i="11" l="1"/>
  <c r="D126" i="12" s="1"/>
  <c r="C126" i="12"/>
  <c r="B126" i="12" s="1"/>
  <c r="J108" i="11"/>
  <c r="C204" i="11"/>
  <c r="I109" i="11" l="1"/>
  <c r="G109" i="11"/>
  <c r="E127" i="12" s="1"/>
  <c r="F126" i="12"/>
  <c r="F109" i="11"/>
  <c r="C205" i="11"/>
  <c r="H109" i="11" l="1"/>
  <c r="D127" i="12" s="1"/>
  <c r="C127" i="12"/>
  <c r="B127" i="12" s="1"/>
  <c r="J109" i="11"/>
  <c r="C206" i="11"/>
  <c r="G110" i="11" l="1"/>
  <c r="E128" i="12" s="1"/>
  <c r="F110" i="11"/>
  <c r="I110" i="11"/>
  <c r="F127" i="12"/>
  <c r="C207" i="11"/>
  <c r="H110" i="11" l="1"/>
  <c r="D128" i="12" s="1"/>
  <c r="C128" i="12"/>
  <c r="B128" i="12" s="1"/>
  <c r="J110" i="11"/>
  <c r="C208" i="11"/>
  <c r="F111" i="11" l="1"/>
  <c r="F128" i="12"/>
  <c r="I111" i="11"/>
  <c r="G111" i="11"/>
  <c r="E129" i="12" s="1"/>
  <c r="C209" i="11"/>
  <c r="H111" i="11" l="1"/>
  <c r="D129" i="12" s="1"/>
  <c r="C129" i="12"/>
  <c r="B129" i="12" s="1"/>
  <c r="J111" i="11"/>
  <c r="C210" i="11"/>
  <c r="I112" i="11" l="1"/>
  <c r="F112" i="11"/>
  <c r="F129" i="12"/>
  <c r="G112" i="11"/>
  <c r="E130" i="12" s="1"/>
  <c r="C211" i="11"/>
  <c r="H112" i="11" l="1"/>
  <c r="D130" i="12" s="1"/>
  <c r="J112" i="11"/>
  <c r="F130" i="12" s="1"/>
  <c r="C130" i="12"/>
  <c r="B130" i="12" s="1"/>
  <c r="G113" i="11"/>
  <c r="E131" i="12" s="1"/>
  <c r="F113" i="11"/>
  <c r="I113" i="11"/>
  <c r="C212" i="11"/>
  <c r="C131" i="12" l="1"/>
  <c r="B131" i="12" s="1"/>
  <c r="J113" i="11"/>
  <c r="H113" i="11"/>
  <c r="D131" i="12" s="1"/>
  <c r="C213" i="11"/>
  <c r="F114" i="11" l="1"/>
  <c r="G114" i="11"/>
  <c r="E132" i="12" s="1"/>
  <c r="F131" i="12"/>
  <c r="I114" i="11"/>
  <c r="C214" i="11"/>
  <c r="C132" i="12" l="1"/>
  <c r="B132" i="12" s="1"/>
  <c r="J114" i="11"/>
  <c r="H114" i="11"/>
  <c r="D132" i="12" s="1"/>
  <c r="C215" i="11"/>
  <c r="G115" i="11" l="1"/>
  <c r="E133" i="12" s="1"/>
  <c r="F132" i="12"/>
  <c r="I115" i="11"/>
  <c r="F115" i="11"/>
  <c r="C216" i="11"/>
  <c r="C133" i="12" l="1"/>
  <c r="B133" i="12" s="1"/>
  <c r="J115" i="11"/>
  <c r="H115" i="11"/>
  <c r="D133" i="12" s="1"/>
  <c r="C217" i="11"/>
  <c r="G116" i="11" l="1"/>
  <c r="E134" i="12" s="1"/>
  <c r="F116" i="11"/>
  <c r="I116" i="11"/>
  <c r="F133" i="12"/>
  <c r="C218" i="11"/>
  <c r="C134" i="12" l="1"/>
  <c r="B134" i="12" s="1"/>
  <c r="J116" i="11"/>
  <c r="H116" i="11"/>
  <c r="D134" i="12" s="1"/>
  <c r="C219" i="11"/>
  <c r="I117" i="11" l="1"/>
  <c r="F117" i="11"/>
  <c r="F134" i="12"/>
  <c r="G117" i="11"/>
  <c r="E135" i="12" s="1"/>
  <c r="C220" i="11"/>
  <c r="C135" i="12" l="1"/>
  <c r="B135" i="12" s="1"/>
  <c r="J117" i="11"/>
  <c r="H117" i="11"/>
  <c r="D135" i="12" s="1"/>
  <c r="C221" i="11"/>
  <c r="I118" i="11" l="1"/>
  <c r="G118" i="11"/>
  <c r="E136" i="12" s="1"/>
  <c r="F118" i="11"/>
  <c r="F135" i="12"/>
  <c r="C222" i="11"/>
  <c r="C136" i="12" l="1"/>
  <c r="B136" i="12" s="1"/>
  <c r="H118" i="11"/>
  <c r="D136" i="12" s="1"/>
  <c r="J118" i="11"/>
  <c r="C223" i="11"/>
  <c r="F119" i="11" l="1"/>
  <c r="G119" i="11"/>
  <c r="E137" i="12" s="1"/>
  <c r="F136" i="12"/>
  <c r="I119" i="11"/>
  <c r="C224" i="11"/>
  <c r="C137" i="12" l="1"/>
  <c r="B137" i="12" s="1"/>
  <c r="H119" i="11"/>
  <c r="D137" i="12" s="1"/>
  <c r="J119" i="11"/>
  <c r="C225" i="11"/>
  <c r="F137" i="12" l="1"/>
  <c r="F120" i="11"/>
  <c r="G120" i="11"/>
  <c r="E138" i="12" s="1"/>
  <c r="I120" i="11"/>
  <c r="C226" i="11"/>
  <c r="C138" i="12" l="1"/>
  <c r="B138" i="12" s="1"/>
  <c r="H120" i="11"/>
  <c r="D138" i="12" s="1"/>
  <c r="J120" i="11"/>
  <c r="C227" i="11"/>
  <c r="F138" i="12" l="1"/>
  <c r="I121" i="11"/>
  <c r="F121" i="11"/>
  <c r="G121" i="11"/>
  <c r="E139" i="12" s="1"/>
  <c r="C228" i="11"/>
  <c r="C139" i="12" l="1"/>
  <c r="B139" i="12" s="1"/>
  <c r="H121" i="11"/>
  <c r="D139" i="12" s="1"/>
  <c r="J121" i="11"/>
  <c r="C229" i="11"/>
  <c r="I122" i="11" l="1"/>
  <c r="F139" i="12"/>
  <c r="F122" i="11"/>
  <c r="G122" i="11"/>
  <c r="E140" i="12" s="1"/>
  <c r="C230" i="11"/>
  <c r="H122" i="11" l="1"/>
  <c r="D140" i="12" s="1"/>
  <c r="C140" i="12"/>
  <c r="B140" i="12" s="1"/>
  <c r="J122" i="11"/>
  <c r="C231" i="11"/>
  <c r="I123" i="11" l="1"/>
  <c r="G123" i="11"/>
  <c r="E141" i="12" s="1"/>
  <c r="F140" i="12"/>
  <c r="F123" i="11"/>
  <c r="C232" i="11"/>
  <c r="C141" i="12" l="1"/>
  <c r="B141" i="12" s="1"/>
  <c r="H123" i="11"/>
  <c r="D141" i="12" s="1"/>
  <c r="J123" i="11"/>
  <c r="C233" i="11"/>
  <c r="F141" i="12" l="1"/>
  <c r="G124" i="11"/>
  <c r="E142" i="12" s="1"/>
  <c r="F124" i="11"/>
  <c r="I124" i="11"/>
  <c r="C234" i="11"/>
  <c r="C142" i="12" l="1"/>
  <c r="B142" i="12" s="1"/>
  <c r="H124" i="11"/>
  <c r="D142" i="12" s="1"/>
  <c r="J124" i="11"/>
  <c r="C235" i="11"/>
  <c r="G125" i="11" l="1"/>
  <c r="E143" i="12" s="1"/>
  <c r="F142" i="12"/>
  <c r="I125" i="11"/>
  <c r="F125" i="11"/>
  <c r="C236" i="11"/>
  <c r="C143" i="12" l="1"/>
  <c r="B143" i="12" s="1"/>
  <c r="H125" i="11"/>
  <c r="D143" i="12" s="1"/>
  <c r="J125" i="11"/>
  <c r="C237" i="11"/>
  <c r="G126" i="11" l="1"/>
  <c r="E144" i="12" s="1"/>
  <c r="F143" i="12"/>
  <c r="F126" i="11"/>
  <c r="I126" i="11"/>
  <c r="C238" i="11"/>
  <c r="C144" i="12" l="1"/>
  <c r="B144" i="12" s="1"/>
  <c r="H126" i="11"/>
  <c r="D144" i="12" s="1"/>
  <c r="J126" i="11"/>
  <c r="C239" i="11"/>
  <c r="G127" i="11" l="1"/>
  <c r="E145" i="12" s="1"/>
  <c r="F127" i="11"/>
  <c r="I127" i="11"/>
  <c r="H127" i="11" s="1"/>
  <c r="D145" i="12" s="1"/>
  <c r="F144" i="12"/>
  <c r="C240" i="11"/>
  <c r="C145" i="12" l="1"/>
  <c r="B145" i="12" s="1"/>
  <c r="J127" i="11"/>
  <c r="C241" i="11"/>
  <c r="G128" i="11" l="1"/>
  <c r="E146" i="12" s="1"/>
  <c r="F145" i="12"/>
  <c r="F128" i="11"/>
  <c r="I128" i="11"/>
  <c r="C242" i="11"/>
  <c r="C146" i="12" l="1"/>
  <c r="B146" i="12" s="1"/>
  <c r="H128" i="11"/>
  <c r="D146" i="12" s="1"/>
  <c r="J128" i="11"/>
  <c r="C32" i="12"/>
  <c r="C33" i="12" s="1"/>
  <c r="C243" i="11"/>
  <c r="F146" i="12" l="1"/>
  <c r="G129" i="11"/>
  <c r="I129" i="11"/>
  <c r="F129" i="11"/>
  <c r="C244" i="11"/>
  <c r="H129" i="11" l="1"/>
  <c r="J129" i="11"/>
  <c r="C245" i="11"/>
  <c r="G130" i="11" l="1"/>
  <c r="I130" i="11"/>
  <c r="F130" i="11"/>
  <c r="C246" i="11"/>
  <c r="J130" i="11" l="1"/>
  <c r="H130" i="11"/>
  <c r="C247" i="11"/>
  <c r="F131" i="11" l="1"/>
  <c r="I131" i="11"/>
  <c r="G131" i="11"/>
  <c r="C248" i="11"/>
  <c r="H131" i="11" l="1"/>
  <c r="J131" i="11"/>
  <c r="C249" i="11"/>
  <c r="G132" i="11" l="1"/>
  <c r="I132" i="11"/>
  <c r="F132" i="11"/>
  <c r="C250" i="11"/>
  <c r="H132" i="11" l="1"/>
  <c r="J132" i="11"/>
  <c r="C251" i="11"/>
  <c r="G133" i="11" l="1"/>
  <c r="F133" i="11"/>
  <c r="I133" i="11"/>
  <c r="H133" i="11" s="1"/>
  <c r="C252" i="11"/>
  <c r="J133" i="11" l="1"/>
  <c r="C253" i="11"/>
  <c r="F134" i="11" l="1"/>
  <c r="G134" i="11"/>
  <c r="I134" i="11"/>
  <c r="H134" i="11" s="1"/>
  <c r="C254" i="11"/>
  <c r="J134" i="11" l="1"/>
  <c r="C255" i="11"/>
  <c r="F135" i="11" l="1"/>
  <c r="I135" i="11"/>
  <c r="G135" i="11"/>
  <c r="C256" i="11"/>
  <c r="J135" i="11" l="1"/>
  <c r="H135" i="11"/>
  <c r="C257" i="11"/>
  <c r="I136" i="11" l="1"/>
  <c r="G136" i="11"/>
  <c r="F136" i="11"/>
  <c r="C258" i="11"/>
  <c r="H136" i="11" l="1"/>
  <c r="J136" i="11"/>
  <c r="C259" i="11"/>
  <c r="I137" i="11" l="1"/>
  <c r="F137" i="11"/>
  <c r="G137" i="11"/>
  <c r="C260" i="11"/>
  <c r="J137" i="11" l="1"/>
  <c r="G138" i="11" s="1"/>
  <c r="H137" i="11"/>
  <c r="C261" i="11"/>
  <c r="I138" i="11" l="1"/>
  <c r="H138" i="11" s="1"/>
  <c r="F138" i="11"/>
  <c r="C262" i="11"/>
  <c r="J138" i="11" l="1"/>
  <c r="I139" i="11" s="1"/>
  <c r="C263" i="11"/>
  <c r="F139" i="11" l="1"/>
  <c r="J139" i="11" s="1"/>
  <c r="G139" i="11"/>
  <c r="H139" i="11" s="1"/>
  <c r="C264" i="11"/>
  <c r="G140" i="11" l="1"/>
  <c r="F140" i="11"/>
  <c r="I140" i="11"/>
  <c r="H140" i="11" s="1"/>
  <c r="C265" i="11"/>
  <c r="J140" i="11" l="1"/>
  <c r="I141" i="11" s="1"/>
  <c r="F141" i="11"/>
  <c r="C266" i="11"/>
  <c r="G141" i="11" l="1"/>
  <c r="H141" i="11" s="1"/>
  <c r="J141" i="11"/>
  <c r="F142" i="11" s="1"/>
  <c r="C267" i="11"/>
  <c r="G142" i="11" l="1"/>
  <c r="I142" i="11"/>
  <c r="J142" i="11" s="1"/>
  <c r="C268" i="11"/>
  <c r="I143" i="11" l="1"/>
  <c r="F143" i="11"/>
  <c r="G143" i="11"/>
  <c r="H142" i="11"/>
  <c r="C269" i="11"/>
  <c r="H143" i="11" l="1"/>
  <c r="J143" i="11"/>
  <c r="C270" i="11"/>
  <c r="F144" i="11" l="1"/>
  <c r="G144" i="11"/>
  <c r="I144" i="11"/>
  <c r="C271" i="11"/>
  <c r="H144" i="11" l="1"/>
  <c r="J144" i="11"/>
  <c r="C272" i="11"/>
  <c r="G145" i="11" l="1"/>
  <c r="F145" i="11"/>
  <c r="I145" i="11"/>
  <c r="C273" i="11"/>
  <c r="H145" i="11" l="1"/>
  <c r="J145" i="11"/>
  <c r="C274" i="11"/>
  <c r="I146" i="11" l="1"/>
  <c r="G146" i="11"/>
  <c r="F146" i="11"/>
  <c r="C275" i="11"/>
  <c r="H146" i="11" l="1"/>
  <c r="J146" i="11"/>
  <c r="C276" i="11"/>
  <c r="I147" i="11" l="1"/>
  <c r="G147" i="11"/>
  <c r="F147" i="11"/>
  <c r="C277" i="11"/>
  <c r="H147" i="11" l="1"/>
  <c r="J147" i="11"/>
  <c r="C278" i="11"/>
  <c r="I148" i="11" l="1"/>
  <c r="G148" i="11"/>
  <c r="F148" i="11"/>
  <c r="C279" i="11"/>
  <c r="J148" i="11" l="1"/>
  <c r="G149" i="11" s="1"/>
  <c r="H148" i="11"/>
  <c r="C280" i="11"/>
  <c r="I149" i="11" l="1"/>
  <c r="H149" i="11" s="1"/>
  <c r="F149" i="11"/>
  <c r="C281" i="11"/>
  <c r="J149" i="11" l="1"/>
  <c r="F150" i="11"/>
  <c r="I150" i="11"/>
  <c r="G150" i="11"/>
  <c r="C282" i="11"/>
  <c r="J150" i="11" l="1"/>
  <c r="H150" i="11"/>
  <c r="C283" i="11"/>
  <c r="G151" i="11" l="1"/>
  <c r="F151" i="11"/>
  <c r="I151" i="11"/>
  <c r="C284" i="11"/>
  <c r="H151" i="11" l="1"/>
  <c r="J151" i="11"/>
  <c r="C285" i="11"/>
  <c r="G152" i="11" l="1"/>
  <c r="F152" i="11"/>
  <c r="I152" i="11"/>
  <c r="C286" i="11"/>
  <c r="H152" i="11" l="1"/>
  <c r="J152" i="11"/>
  <c r="C287" i="11"/>
  <c r="F153" i="11" l="1"/>
  <c r="G153" i="11"/>
  <c r="I153" i="11"/>
  <c r="C288" i="11"/>
  <c r="H153" i="11" l="1"/>
  <c r="J153" i="11"/>
  <c r="C289" i="11"/>
  <c r="I154" i="11" l="1"/>
  <c r="G154" i="11"/>
  <c r="F154" i="11"/>
  <c r="C290" i="11"/>
  <c r="H154" i="11" l="1"/>
  <c r="J154" i="11"/>
  <c r="C291" i="11"/>
  <c r="G155" i="11" l="1"/>
  <c r="I155" i="11"/>
  <c r="F155" i="11"/>
  <c r="C292" i="11"/>
  <c r="H155" i="11" l="1"/>
  <c r="J155" i="11"/>
  <c r="C293" i="11"/>
  <c r="I156" i="11" l="1"/>
  <c r="F156" i="11"/>
  <c r="G156" i="11"/>
  <c r="C294" i="11"/>
  <c r="H156" i="11" l="1"/>
  <c r="J156" i="11"/>
  <c r="C295" i="11"/>
  <c r="G157" i="11" l="1"/>
  <c r="I157" i="11"/>
  <c r="F157" i="11"/>
  <c r="C296" i="11"/>
  <c r="H157" i="11" l="1"/>
  <c r="J157" i="11"/>
  <c r="C297" i="11"/>
  <c r="I158" i="11" l="1"/>
  <c r="G158" i="11"/>
  <c r="F158" i="11"/>
  <c r="C298" i="11"/>
  <c r="H158" i="11" l="1"/>
  <c r="J158" i="11"/>
  <c r="C299" i="11"/>
  <c r="F159" i="11" l="1"/>
  <c r="G159" i="11"/>
  <c r="I159" i="11"/>
  <c r="C300" i="11"/>
  <c r="H159" i="11" l="1"/>
  <c r="J159" i="11"/>
  <c r="C301" i="11"/>
  <c r="G160" i="11" l="1"/>
  <c r="I160" i="11"/>
  <c r="F160" i="11"/>
  <c r="C302" i="11"/>
  <c r="J160" i="11" l="1"/>
  <c r="H160" i="11"/>
  <c r="C303" i="11"/>
  <c r="F161" i="11" l="1"/>
  <c r="G161" i="11"/>
  <c r="I161" i="11"/>
  <c r="C304" i="11"/>
  <c r="H161" i="11" l="1"/>
  <c r="J161" i="11"/>
  <c r="C305" i="11"/>
  <c r="G162" i="11" l="1"/>
  <c r="F162" i="11"/>
  <c r="I162" i="11"/>
  <c r="C306" i="11"/>
  <c r="H162" i="11" l="1"/>
  <c r="J162" i="11"/>
  <c r="C307" i="11"/>
  <c r="G163" i="11" l="1"/>
  <c r="I163" i="11"/>
  <c r="F163" i="11"/>
  <c r="C308" i="11"/>
  <c r="H163" i="11" l="1"/>
  <c r="J163" i="11"/>
  <c r="C309" i="11"/>
  <c r="I164" i="11" l="1"/>
  <c r="F164" i="11"/>
  <c r="G164" i="11"/>
  <c r="C310" i="11"/>
  <c r="H164" i="11" l="1"/>
  <c r="J164" i="11"/>
  <c r="C311" i="11"/>
  <c r="F165" i="11" l="1"/>
  <c r="G165" i="11"/>
  <c r="I165" i="11"/>
  <c r="C312" i="11"/>
  <c r="J165" i="11" l="1"/>
  <c r="H165" i="11"/>
  <c r="C313" i="11"/>
  <c r="G166" i="11" l="1"/>
  <c r="I166" i="11"/>
  <c r="F166" i="11"/>
  <c r="C314" i="11"/>
  <c r="H166" i="11" l="1"/>
  <c r="J166" i="11"/>
  <c r="C315" i="11"/>
  <c r="F167" i="11" l="1"/>
  <c r="G167" i="11"/>
  <c r="I167" i="11"/>
  <c r="H167" i="11" s="1"/>
  <c r="C316" i="11"/>
  <c r="J167" i="11" l="1"/>
  <c r="C317" i="11"/>
  <c r="F168" i="11" l="1"/>
  <c r="I168" i="11"/>
  <c r="G168" i="11"/>
  <c r="C318" i="11"/>
  <c r="H168" i="11" l="1"/>
  <c r="J168" i="11"/>
  <c r="C319" i="11"/>
  <c r="G169" i="11" l="1"/>
  <c r="I169" i="11"/>
  <c r="F169" i="11"/>
  <c r="C320" i="11"/>
  <c r="J169" i="11" l="1"/>
  <c r="H169" i="11"/>
  <c r="C321" i="11"/>
  <c r="F170" i="11" l="1"/>
  <c r="G170" i="11"/>
  <c r="I170" i="11"/>
  <c r="H170" i="11" s="1"/>
  <c r="C322" i="11"/>
  <c r="J170" i="11" l="1"/>
  <c r="I171" i="11" s="1"/>
  <c r="C323" i="11"/>
  <c r="F171" i="11" l="1"/>
  <c r="J171" i="11" s="1"/>
  <c r="G171" i="11"/>
  <c r="H171" i="11" s="1"/>
  <c r="C324" i="11"/>
  <c r="G172" i="11" l="1"/>
  <c r="I172" i="11"/>
  <c r="H172" i="11" s="1"/>
  <c r="F172" i="11"/>
  <c r="C325" i="11"/>
  <c r="J172" i="11" l="1"/>
  <c r="C326" i="11"/>
  <c r="I173" i="11" l="1"/>
  <c r="F173" i="11"/>
  <c r="G173" i="11"/>
  <c r="C327" i="11"/>
  <c r="J173" i="11" l="1"/>
  <c r="G174" i="11" s="1"/>
  <c r="H173" i="11"/>
  <c r="C328" i="11"/>
  <c r="F174" i="11" l="1"/>
  <c r="I174" i="11"/>
  <c r="H174" i="11" s="1"/>
  <c r="C329" i="11"/>
  <c r="J174" i="11" l="1"/>
  <c r="F175" i="11"/>
  <c r="I175" i="11"/>
  <c r="G175" i="11"/>
  <c r="C330" i="11"/>
  <c r="H175" i="11" l="1"/>
  <c r="J175" i="11"/>
  <c r="C331" i="11"/>
  <c r="G176" i="11" l="1"/>
  <c r="I176" i="11"/>
  <c r="H176" i="11" s="1"/>
  <c r="F176" i="11"/>
  <c r="C332" i="11"/>
  <c r="J176" i="11" l="1"/>
  <c r="C333" i="11"/>
  <c r="G177" i="11" l="1"/>
  <c r="F177" i="11"/>
  <c r="I177" i="11"/>
  <c r="H177" i="11" s="1"/>
  <c r="C334" i="11"/>
  <c r="J177" i="11" l="1"/>
  <c r="C335" i="11"/>
  <c r="F178" i="11" l="1"/>
  <c r="G178" i="11"/>
  <c r="I178" i="11"/>
  <c r="C336" i="11"/>
  <c r="H178" i="11" l="1"/>
  <c r="J178" i="11"/>
  <c r="C337" i="11"/>
  <c r="I179" i="11" l="1"/>
  <c r="F179" i="11"/>
  <c r="G179" i="11"/>
  <c r="C338" i="11"/>
  <c r="H179" i="11" l="1"/>
  <c r="J179" i="11"/>
  <c r="F180" i="11" s="1"/>
  <c r="C339" i="11"/>
  <c r="G180" i="11" l="1"/>
  <c r="I180" i="11"/>
  <c r="H180" i="11" s="1"/>
  <c r="C340" i="11"/>
  <c r="J180" i="11" l="1"/>
  <c r="I181" i="11" s="1"/>
  <c r="F181" i="11"/>
  <c r="C341" i="11"/>
  <c r="G181" i="11" l="1"/>
  <c r="H181" i="11"/>
  <c r="J181" i="11"/>
  <c r="C342" i="11"/>
  <c r="F182" i="11" l="1"/>
  <c r="G182" i="11"/>
  <c r="I182" i="11"/>
  <c r="H182" i="11" s="1"/>
  <c r="C343" i="11"/>
  <c r="J182" i="11" l="1"/>
  <c r="C344" i="11"/>
  <c r="G183" i="11" l="1"/>
  <c r="I183" i="11"/>
  <c r="F183" i="11"/>
  <c r="C345" i="11"/>
  <c r="H183" i="11" l="1"/>
  <c r="J183" i="11"/>
  <c r="C346" i="11"/>
  <c r="G184" i="11" l="1"/>
  <c r="F184" i="11"/>
  <c r="I184" i="11"/>
  <c r="C347" i="11"/>
  <c r="H184" i="11" l="1"/>
  <c r="J184" i="11"/>
  <c r="C348" i="11"/>
  <c r="F185" i="11" l="1"/>
  <c r="I185" i="11"/>
  <c r="G185" i="11"/>
  <c r="C349" i="11"/>
  <c r="H185" i="11" l="1"/>
  <c r="J185" i="11"/>
  <c r="C350" i="11"/>
  <c r="I186" i="11" l="1"/>
  <c r="F186" i="11"/>
  <c r="G186" i="11"/>
  <c r="C351" i="11"/>
  <c r="H186" i="11" l="1"/>
  <c r="J186" i="11"/>
  <c r="I187" i="11" s="1"/>
  <c r="F187" i="11"/>
  <c r="G187" i="11"/>
  <c r="C352" i="11"/>
  <c r="H187" i="11" l="1"/>
  <c r="J187" i="11"/>
  <c r="C353" i="11"/>
  <c r="I188" i="11" l="1"/>
  <c r="F188" i="11"/>
  <c r="G188" i="11"/>
  <c r="C354" i="11"/>
  <c r="H188" i="11" l="1"/>
  <c r="J188" i="11"/>
  <c r="C355" i="11"/>
  <c r="I189" i="11" l="1"/>
  <c r="G189" i="11"/>
  <c r="F189" i="11"/>
  <c r="C356" i="11"/>
  <c r="J189" i="11" l="1"/>
  <c r="F190" i="11" s="1"/>
  <c r="H189" i="11"/>
  <c r="C357" i="11"/>
  <c r="I190" i="11" l="1"/>
  <c r="J190" i="11" s="1"/>
  <c r="G190" i="11"/>
  <c r="C358" i="11"/>
  <c r="H190" i="11" l="1"/>
  <c r="I191" i="11"/>
  <c r="F191" i="11"/>
  <c r="G191" i="11"/>
  <c r="C359" i="11"/>
  <c r="H191" i="11" l="1"/>
  <c r="J191" i="11"/>
  <c r="C360" i="11"/>
  <c r="I192" i="11" l="1"/>
  <c r="F192" i="11"/>
  <c r="G192" i="11"/>
  <c r="C361" i="11"/>
  <c r="H192" i="11" l="1"/>
  <c r="J192" i="11"/>
  <c r="C362" i="11"/>
  <c r="F193" i="11" l="1"/>
  <c r="I193" i="11"/>
  <c r="G193" i="11"/>
  <c r="C363" i="11"/>
  <c r="H193" i="11" l="1"/>
  <c r="J193" i="11"/>
  <c r="C364" i="11"/>
  <c r="G194" i="11" l="1"/>
  <c r="F194" i="11"/>
  <c r="I194" i="11"/>
  <c r="C365" i="11"/>
  <c r="H194" i="11" l="1"/>
  <c r="J194" i="11"/>
  <c r="C366" i="11"/>
  <c r="I195" i="11" l="1"/>
  <c r="G195" i="11"/>
  <c r="F195" i="11"/>
  <c r="C367" i="11"/>
  <c r="H195" i="11" l="1"/>
  <c r="J195" i="11"/>
  <c r="C368" i="11"/>
  <c r="I196" i="11" l="1"/>
  <c r="F196" i="11"/>
  <c r="G196" i="11"/>
  <c r="C369" i="11"/>
  <c r="H196" i="11" l="1"/>
  <c r="J196" i="11"/>
  <c r="C370" i="11"/>
  <c r="F197" i="11" l="1"/>
  <c r="I197" i="11"/>
  <c r="G197" i="11"/>
  <c r="C371" i="11"/>
  <c r="H197" i="11" l="1"/>
  <c r="J197" i="11"/>
  <c r="C372" i="11"/>
  <c r="F198" i="11" l="1"/>
  <c r="G198" i="11"/>
  <c r="I198" i="11"/>
  <c r="H198" i="11" s="1"/>
  <c r="C373" i="11"/>
  <c r="J198" i="11" l="1"/>
  <c r="C374" i="11"/>
  <c r="G199" i="11" l="1"/>
  <c r="F199" i="11"/>
  <c r="I199" i="11"/>
  <c r="H199" i="11" s="1"/>
  <c r="C375" i="11"/>
  <c r="J199" i="11" l="1"/>
  <c r="C376" i="11"/>
  <c r="I200" i="11" l="1"/>
  <c r="G200" i="11"/>
  <c r="F200" i="11"/>
  <c r="C377" i="11"/>
  <c r="J200" i="11" l="1"/>
  <c r="F201" i="11" s="1"/>
  <c r="I201" i="11"/>
  <c r="H200" i="11"/>
  <c r="C378" i="11"/>
  <c r="G201" i="11" l="1"/>
  <c r="H201" i="11" s="1"/>
  <c r="J201" i="11"/>
  <c r="C379" i="11"/>
  <c r="G202" i="11" l="1"/>
  <c r="I202" i="11"/>
  <c r="F202" i="11"/>
  <c r="C380" i="11"/>
  <c r="H202" i="11" l="1"/>
  <c r="J202" i="11"/>
  <c r="C381" i="11"/>
  <c r="F203" i="11" l="1"/>
  <c r="G203" i="11"/>
  <c r="I203" i="11"/>
  <c r="C382" i="11"/>
  <c r="H203" i="11" l="1"/>
  <c r="J203" i="11"/>
  <c r="C383" i="11"/>
  <c r="F204" i="11" l="1"/>
  <c r="G204" i="11"/>
  <c r="I204" i="11"/>
  <c r="C384" i="11"/>
  <c r="H204" i="11" l="1"/>
  <c r="J204" i="11"/>
  <c r="G205" i="11" l="1"/>
  <c r="F205" i="11"/>
  <c r="I205" i="11"/>
  <c r="J205" i="11" l="1"/>
  <c r="H205" i="11"/>
  <c r="G206" i="11" l="1"/>
  <c r="I206" i="11"/>
  <c r="F206" i="11"/>
  <c r="H206" i="11" l="1"/>
  <c r="J206" i="11"/>
  <c r="F207" i="11" l="1"/>
  <c r="G207" i="11"/>
  <c r="I207" i="11"/>
  <c r="J207" i="11" l="1"/>
  <c r="H207" i="11"/>
  <c r="I208" i="11" l="1"/>
  <c r="G208" i="11"/>
  <c r="F208" i="11"/>
  <c r="H208" i="11" l="1"/>
  <c r="J208" i="11"/>
  <c r="G209" i="11" l="1"/>
  <c r="F209" i="11"/>
  <c r="I209" i="11"/>
  <c r="H209" i="11" l="1"/>
  <c r="J209" i="11"/>
  <c r="G210" i="11" l="1"/>
  <c r="F210" i="11"/>
  <c r="I210" i="11"/>
  <c r="H210" i="11" l="1"/>
  <c r="J210" i="11"/>
  <c r="F211" i="11" l="1"/>
  <c r="I211" i="11"/>
  <c r="G211" i="11"/>
  <c r="H211" i="11" l="1"/>
  <c r="J211" i="11"/>
  <c r="F212" i="11" l="1"/>
  <c r="G212" i="11"/>
  <c r="I212" i="11"/>
  <c r="H212" i="11" l="1"/>
  <c r="J212" i="11"/>
  <c r="G213" i="11" l="1"/>
  <c r="I213" i="11"/>
  <c r="F213" i="11"/>
  <c r="J213" i="11" l="1"/>
  <c r="H213" i="11"/>
  <c r="G214" i="11" l="1"/>
  <c r="I214" i="11"/>
  <c r="F214" i="11"/>
  <c r="H214" i="11" l="1"/>
  <c r="J214" i="11"/>
  <c r="F215" i="11" l="1"/>
  <c r="I215" i="11"/>
  <c r="G215" i="11"/>
  <c r="J215" i="11" l="1"/>
  <c r="H215" i="11"/>
  <c r="F216" i="11" l="1"/>
  <c r="G216" i="11"/>
  <c r="I216" i="11"/>
  <c r="H216" i="11" l="1"/>
  <c r="J216" i="11"/>
  <c r="G217" i="11" l="1"/>
  <c r="I217" i="11"/>
  <c r="F217" i="11"/>
  <c r="H217" i="11" l="1"/>
  <c r="J217" i="11"/>
  <c r="F218" i="11" l="1"/>
  <c r="G218" i="11"/>
  <c r="I218" i="11"/>
  <c r="H218" i="11" l="1"/>
  <c r="J218" i="11"/>
  <c r="I219" i="11" l="1"/>
  <c r="G219" i="11"/>
  <c r="F219" i="11"/>
  <c r="J219" i="11" l="1"/>
  <c r="H219" i="11"/>
  <c r="F220" i="11" l="1"/>
  <c r="G220" i="11"/>
  <c r="I220" i="11"/>
  <c r="J220" i="11" l="1"/>
  <c r="H220" i="11"/>
  <c r="I221" i="11" l="1"/>
  <c r="G221" i="11"/>
  <c r="F221" i="11"/>
  <c r="H221" i="11" l="1"/>
  <c r="J221" i="11"/>
  <c r="I222" i="11" l="1"/>
  <c r="F222" i="11"/>
  <c r="G222" i="11"/>
  <c r="H222" i="11" l="1"/>
  <c r="J222" i="11"/>
  <c r="I223" i="11" l="1"/>
  <c r="F223" i="11"/>
  <c r="G223" i="11"/>
  <c r="H223" i="11" l="1"/>
  <c r="J223" i="11"/>
  <c r="F224" i="11" l="1"/>
  <c r="G224" i="11"/>
  <c r="I224" i="11"/>
  <c r="H224" i="11" l="1"/>
  <c r="J224" i="11"/>
  <c r="I225" i="11" l="1"/>
  <c r="G225" i="11"/>
  <c r="F225" i="11"/>
  <c r="H225" i="11" l="1"/>
  <c r="J225" i="11"/>
  <c r="G226" i="11" l="1"/>
  <c r="F226" i="11"/>
  <c r="I226" i="11"/>
  <c r="H226" i="11" l="1"/>
  <c r="J226" i="11"/>
  <c r="F227" i="11" l="1"/>
  <c r="I227" i="11"/>
  <c r="G227" i="11"/>
  <c r="J227" i="11" l="1"/>
  <c r="G228" i="11" s="1"/>
  <c r="H227" i="11"/>
  <c r="I228" i="11" l="1"/>
  <c r="H228" i="11" s="1"/>
  <c r="F228" i="11"/>
  <c r="J228" i="11" l="1"/>
  <c r="G229" i="11" s="1"/>
  <c r="I229" i="11" l="1"/>
  <c r="H229" i="11" s="1"/>
  <c r="F229" i="11"/>
  <c r="J229" i="11" l="1"/>
  <c r="G230" i="11"/>
  <c r="F230" i="11"/>
  <c r="I230" i="11"/>
  <c r="H230" i="11" s="1"/>
  <c r="J230" i="11" l="1"/>
  <c r="G231" i="11" l="1"/>
  <c r="F231" i="11"/>
  <c r="I231" i="11"/>
  <c r="H231" i="11" s="1"/>
  <c r="J231" i="11" l="1"/>
  <c r="F232" i="11" l="1"/>
  <c r="G232" i="11"/>
  <c r="I232" i="11"/>
  <c r="H232" i="11" s="1"/>
  <c r="J232" i="11" l="1"/>
  <c r="G233" i="11" l="1"/>
  <c r="F233" i="11"/>
  <c r="I233" i="11"/>
  <c r="J233" i="11" l="1"/>
  <c r="G234" i="11"/>
  <c r="I234" i="11"/>
  <c r="H234" i="11" s="1"/>
  <c r="F234" i="11"/>
  <c r="H233" i="11"/>
  <c r="J234" i="11" l="1"/>
  <c r="I235" i="11" l="1"/>
  <c r="G235" i="11"/>
  <c r="F235" i="11"/>
  <c r="J235" i="11" l="1"/>
  <c r="H235" i="11"/>
  <c r="F236" i="11" l="1"/>
  <c r="G236" i="11"/>
  <c r="I236" i="11"/>
  <c r="J236" i="11" l="1"/>
  <c r="H236" i="11"/>
  <c r="G237" i="11" l="1"/>
  <c r="F237" i="11"/>
  <c r="I237" i="11"/>
  <c r="H237" i="11" l="1"/>
  <c r="J237" i="11"/>
  <c r="I238" i="11" l="1"/>
  <c r="F238" i="11"/>
  <c r="G238" i="11"/>
  <c r="H238" i="11" l="1"/>
  <c r="J238" i="11"/>
  <c r="F239" i="11" l="1"/>
  <c r="G239" i="11"/>
  <c r="I239" i="11"/>
  <c r="H239" i="11" l="1"/>
  <c r="J239" i="11"/>
  <c r="G240" i="11" l="1"/>
  <c r="F240" i="11"/>
  <c r="I240" i="11"/>
  <c r="J240" i="11" l="1"/>
  <c r="H240" i="11"/>
  <c r="G241" i="11" l="1"/>
  <c r="I241" i="11"/>
  <c r="F241" i="11"/>
  <c r="J241" i="11" l="1"/>
  <c r="H241" i="11"/>
  <c r="I242" i="11" l="1"/>
  <c r="G242" i="11"/>
  <c r="F242" i="11"/>
  <c r="H242" i="11" l="1"/>
  <c r="J242" i="11"/>
  <c r="G243" i="11" l="1"/>
  <c r="F243" i="11"/>
  <c r="I243" i="11"/>
  <c r="H243" i="11" s="1"/>
  <c r="J243" i="11" l="1"/>
  <c r="F244" i="11" l="1"/>
  <c r="I244" i="11"/>
  <c r="G244" i="11"/>
  <c r="H244" i="11" l="1"/>
  <c r="J244" i="11"/>
  <c r="F245" i="11" l="1"/>
  <c r="I245" i="11"/>
  <c r="G245" i="11"/>
  <c r="H245" i="11" l="1"/>
  <c r="J245" i="11"/>
  <c r="G246" i="11" l="1"/>
  <c r="F246" i="11"/>
  <c r="I246" i="11"/>
  <c r="J246" i="11" l="1"/>
  <c r="H246" i="11"/>
  <c r="G247" i="11" l="1"/>
  <c r="I247" i="11"/>
  <c r="F247" i="11"/>
  <c r="H247" i="11" l="1"/>
  <c r="J247" i="11"/>
  <c r="G248" i="11" l="1"/>
  <c r="I248" i="11"/>
  <c r="F248" i="11"/>
  <c r="H248" i="11" l="1"/>
  <c r="J248" i="11"/>
  <c r="I249" i="11" l="1"/>
  <c r="G249" i="11"/>
  <c r="F249" i="11"/>
  <c r="H249" i="11" l="1"/>
  <c r="J249" i="11"/>
  <c r="F250" i="11" l="1"/>
  <c r="G250" i="11"/>
  <c r="I250" i="11"/>
  <c r="J250" i="11" l="1"/>
  <c r="H250" i="11"/>
  <c r="F251" i="11" l="1"/>
  <c r="I251" i="11"/>
  <c r="G251" i="11"/>
  <c r="J251" i="11" l="1"/>
  <c r="H251" i="11"/>
  <c r="G252" i="11" l="1"/>
  <c r="F252" i="11"/>
  <c r="I252" i="11"/>
  <c r="J252" i="11" l="1"/>
  <c r="H252" i="11"/>
  <c r="F253" i="11" l="1"/>
  <c r="I253" i="11"/>
  <c r="G253" i="11"/>
  <c r="H253" i="11" l="1"/>
  <c r="J253" i="11"/>
  <c r="G254" i="11" l="1"/>
  <c r="F254" i="11"/>
  <c r="I254" i="11"/>
  <c r="H254" i="11" l="1"/>
  <c r="J254" i="11"/>
  <c r="G255" i="11" l="1"/>
  <c r="F255" i="11"/>
  <c r="I255" i="11"/>
  <c r="J255" i="11" l="1"/>
  <c r="H255" i="11"/>
  <c r="F256" i="11" l="1"/>
  <c r="G256" i="11"/>
  <c r="I256" i="11"/>
  <c r="H256" i="11" l="1"/>
  <c r="J256" i="11"/>
  <c r="F257" i="11" l="1"/>
  <c r="I257" i="11"/>
  <c r="G257" i="11"/>
  <c r="H257" i="11" l="1"/>
  <c r="J257" i="11"/>
  <c r="G258" i="11" l="1"/>
  <c r="I258" i="11"/>
  <c r="F258" i="11"/>
  <c r="J258" i="11" l="1"/>
  <c r="H258" i="11"/>
  <c r="F259" i="11" l="1"/>
  <c r="G259" i="11"/>
  <c r="I259" i="11"/>
  <c r="J259" i="11" l="1"/>
  <c r="H259" i="11"/>
  <c r="F260" i="11" l="1"/>
  <c r="I260" i="11"/>
  <c r="G260" i="11"/>
  <c r="J260" i="11" l="1"/>
  <c r="H260" i="11"/>
  <c r="F261" i="11" l="1"/>
  <c r="G261" i="11"/>
  <c r="I261" i="11"/>
  <c r="H261" i="11" l="1"/>
  <c r="J261" i="11"/>
  <c r="G262" i="11" l="1"/>
  <c r="I262" i="11"/>
  <c r="F262" i="11"/>
  <c r="H262" i="11" l="1"/>
  <c r="J262" i="11"/>
  <c r="F263" i="11" l="1"/>
  <c r="I263" i="11"/>
  <c r="G263" i="11"/>
  <c r="J263" i="11" l="1"/>
  <c r="H263" i="11"/>
  <c r="F264" i="11" l="1"/>
  <c r="I264" i="11"/>
  <c r="G264" i="11"/>
  <c r="H264" i="11" l="1"/>
  <c r="J264" i="11"/>
  <c r="G265" i="11" l="1"/>
  <c r="I265" i="11"/>
  <c r="F265" i="11"/>
  <c r="J265" i="11" l="1"/>
  <c r="H265" i="11"/>
  <c r="G266" i="11" l="1"/>
  <c r="F266" i="11"/>
  <c r="I266" i="11"/>
  <c r="H266" i="11" l="1"/>
  <c r="J266" i="11"/>
  <c r="G267" i="11" l="1"/>
  <c r="I267" i="11"/>
  <c r="F267" i="11"/>
  <c r="J267" i="11" l="1"/>
  <c r="H267" i="11"/>
  <c r="F268" i="11" l="1"/>
  <c r="I268" i="11"/>
  <c r="G268" i="11"/>
  <c r="H268" i="11" l="1"/>
  <c r="J268" i="11"/>
  <c r="I269" i="11" l="1"/>
  <c r="G269" i="11"/>
  <c r="F269" i="11"/>
  <c r="J269" i="11" l="1"/>
  <c r="H269" i="11"/>
  <c r="F270" i="11" l="1"/>
  <c r="G270" i="11"/>
  <c r="I270" i="11"/>
  <c r="J270" i="11" l="1"/>
  <c r="H270" i="11"/>
  <c r="F271" i="11" l="1"/>
  <c r="I271" i="11"/>
  <c r="G271" i="11"/>
  <c r="J271" i="11" l="1"/>
  <c r="H271" i="11"/>
  <c r="I272" i="11" l="1"/>
  <c r="G272" i="11"/>
  <c r="F272" i="11"/>
  <c r="H272" i="11" l="1"/>
  <c r="J272" i="11"/>
  <c r="F273" i="11" l="1"/>
  <c r="I273" i="11"/>
  <c r="G273" i="11"/>
  <c r="J273" i="11" l="1"/>
  <c r="H273" i="11"/>
  <c r="F274" i="11" l="1"/>
  <c r="G274" i="11"/>
  <c r="I274" i="11"/>
  <c r="H274" i="11" l="1"/>
  <c r="J274" i="11"/>
  <c r="I275" i="11" l="1"/>
  <c r="G275" i="11"/>
  <c r="F275" i="11"/>
  <c r="J275" i="11" l="1"/>
  <c r="H275" i="11"/>
  <c r="I276" i="11" l="1"/>
  <c r="F276" i="11"/>
  <c r="G276" i="11"/>
  <c r="J276" i="11" l="1"/>
  <c r="H276" i="11"/>
  <c r="I277" i="11" l="1"/>
  <c r="G277" i="11"/>
  <c r="F277" i="11"/>
  <c r="H277" i="11" l="1"/>
  <c r="J277" i="11"/>
  <c r="I278" i="11" l="1"/>
  <c r="G278" i="11"/>
  <c r="F278" i="11"/>
  <c r="H278" i="11" l="1"/>
  <c r="J278" i="11"/>
  <c r="I279" i="11" l="1"/>
  <c r="G279" i="11"/>
  <c r="F279" i="11"/>
  <c r="H279" i="11" l="1"/>
  <c r="J279" i="11"/>
  <c r="I280" i="11" l="1"/>
  <c r="G280" i="11"/>
  <c r="F280" i="11"/>
  <c r="H280" i="11" l="1"/>
  <c r="J280" i="11"/>
  <c r="G281" i="11" l="1"/>
  <c r="I281" i="11"/>
  <c r="F281" i="11"/>
  <c r="J281" i="11" l="1"/>
  <c r="H281" i="11"/>
  <c r="F282" i="11" l="1"/>
  <c r="I282" i="11"/>
  <c r="G282" i="11"/>
  <c r="J282" i="11" l="1"/>
  <c r="H282" i="11"/>
  <c r="I283" i="11" l="1"/>
  <c r="G283" i="11"/>
  <c r="F283" i="11"/>
  <c r="J283" i="11" l="1"/>
  <c r="H283" i="11"/>
  <c r="G284" i="11" l="1"/>
  <c r="F284" i="11"/>
  <c r="I284" i="11"/>
  <c r="H284" i="11" l="1"/>
  <c r="J284" i="11"/>
  <c r="F285" i="11" l="1"/>
  <c r="G285" i="11"/>
  <c r="I285" i="11"/>
  <c r="H285" i="11" s="1"/>
  <c r="J285" i="11" l="1"/>
  <c r="G286" i="11" l="1"/>
  <c r="F286" i="11"/>
  <c r="I286" i="11"/>
  <c r="J286" i="11" l="1"/>
  <c r="H286" i="11"/>
  <c r="F287" i="11" l="1"/>
  <c r="G287" i="11"/>
  <c r="I287" i="11"/>
  <c r="J287" i="11" l="1"/>
  <c r="H287" i="11"/>
  <c r="G288" i="11" l="1"/>
  <c r="I288" i="11"/>
  <c r="F288" i="11"/>
  <c r="H288" i="11" l="1"/>
  <c r="J288" i="11"/>
  <c r="I289" i="11" l="1"/>
  <c r="G289" i="11"/>
  <c r="F289" i="11"/>
  <c r="J289" i="11" l="1"/>
  <c r="H289" i="11"/>
  <c r="I290" i="11" l="1"/>
  <c r="F290" i="11"/>
  <c r="G290" i="11"/>
  <c r="J290" i="11" l="1"/>
  <c r="H290" i="11"/>
  <c r="I291" i="11" l="1"/>
  <c r="G291" i="11"/>
  <c r="F291" i="11"/>
  <c r="H291" i="11" l="1"/>
  <c r="J291" i="11"/>
  <c r="I292" i="11" l="1"/>
  <c r="G292" i="11"/>
  <c r="F292" i="11"/>
  <c r="H292" i="11" l="1"/>
  <c r="J292" i="11"/>
  <c r="I293" i="11" l="1"/>
  <c r="F293" i="11"/>
  <c r="G293" i="11"/>
  <c r="J293" i="11" l="1"/>
  <c r="H293" i="11"/>
  <c r="G294" i="11" l="1"/>
  <c r="F294" i="11"/>
  <c r="I294" i="11"/>
  <c r="J294" i="11" l="1"/>
  <c r="H294" i="11"/>
  <c r="G295" i="11" l="1"/>
  <c r="I295" i="11"/>
  <c r="F295" i="11"/>
  <c r="H295" i="11" l="1"/>
  <c r="J295" i="11"/>
  <c r="G296" i="11" l="1"/>
  <c r="F296" i="11"/>
  <c r="I296" i="11"/>
  <c r="H296" i="11" l="1"/>
  <c r="J296" i="11"/>
  <c r="F297" i="11" l="1"/>
  <c r="G297" i="11"/>
  <c r="I297" i="11"/>
  <c r="H297" i="11" l="1"/>
  <c r="J297" i="11"/>
  <c r="F298" i="11" l="1"/>
  <c r="I298" i="11"/>
  <c r="G298" i="11"/>
  <c r="J298" i="11" l="1"/>
  <c r="G299" i="11" s="1"/>
  <c r="I299" i="11"/>
  <c r="H298" i="11"/>
  <c r="H299" i="11" l="1"/>
  <c r="F299" i="11"/>
  <c r="J299" i="11" s="1"/>
  <c r="F300" i="11" l="1"/>
  <c r="G300" i="11"/>
  <c r="I300" i="11"/>
  <c r="H300" i="11" l="1"/>
  <c r="J300" i="11"/>
  <c r="F301" i="11" l="1"/>
  <c r="I301" i="11"/>
  <c r="G301" i="11"/>
  <c r="J301" i="11" l="1"/>
  <c r="H301" i="11"/>
  <c r="G302" i="11" l="1"/>
  <c r="F302" i="11"/>
  <c r="I302" i="11"/>
  <c r="H302" i="11" l="1"/>
  <c r="J302" i="11"/>
  <c r="I303" i="11" l="1"/>
  <c r="G303" i="11"/>
  <c r="F303" i="11"/>
  <c r="H303" i="11" l="1"/>
  <c r="J303" i="11"/>
  <c r="G304" i="11" l="1"/>
  <c r="I304" i="11"/>
  <c r="H304" i="11" s="1"/>
  <c r="F304" i="11"/>
  <c r="J304" i="11" l="1"/>
  <c r="F305" i="11" l="1"/>
  <c r="I305" i="11"/>
  <c r="G305" i="11"/>
  <c r="H305" i="11" l="1"/>
  <c r="J305" i="11"/>
  <c r="G306" i="11" l="1"/>
  <c r="F306" i="11"/>
  <c r="I306" i="11"/>
  <c r="H306" i="11" l="1"/>
  <c r="J306" i="11"/>
  <c r="F307" i="11" l="1"/>
  <c r="G307" i="11"/>
  <c r="I307" i="11"/>
  <c r="H307" i="11" l="1"/>
  <c r="J307" i="11"/>
  <c r="F308" i="11" l="1"/>
  <c r="G308" i="11"/>
  <c r="I308" i="11"/>
  <c r="H308" i="11" l="1"/>
  <c r="J308" i="11"/>
  <c r="I309" i="11" l="1"/>
  <c r="F309" i="11"/>
  <c r="G309" i="11"/>
  <c r="H309" i="11" l="1"/>
  <c r="J309" i="11"/>
  <c r="F310" i="11" l="1"/>
  <c r="I310" i="11"/>
  <c r="G310" i="11"/>
  <c r="H310" i="11" l="1"/>
  <c r="J310" i="11"/>
  <c r="G311" i="11" l="1"/>
  <c r="I311" i="11"/>
  <c r="F311" i="11"/>
  <c r="H311" i="11" l="1"/>
  <c r="J311" i="11"/>
  <c r="F312" i="11" l="1"/>
  <c r="I312" i="11"/>
  <c r="G312" i="11"/>
  <c r="H312" i="11" l="1"/>
  <c r="J312" i="11"/>
  <c r="G313" i="11" l="1"/>
  <c r="I313" i="11"/>
  <c r="F313" i="11"/>
  <c r="H313" i="11" l="1"/>
  <c r="J313" i="11"/>
  <c r="F314" i="11" l="1"/>
  <c r="I314" i="11"/>
  <c r="G314" i="11"/>
  <c r="H314" i="11" l="1"/>
  <c r="J314" i="11"/>
  <c r="G315" i="11" l="1"/>
  <c r="I315" i="11"/>
  <c r="F315" i="11"/>
  <c r="H315" i="11" l="1"/>
  <c r="J315" i="11"/>
  <c r="G316" i="11" l="1"/>
  <c r="F316" i="11"/>
  <c r="I316" i="11"/>
  <c r="H316" i="11" l="1"/>
  <c r="J316" i="11"/>
  <c r="G317" i="11" l="1"/>
  <c r="F317" i="11"/>
  <c r="I317" i="11"/>
  <c r="J317" i="11" l="1"/>
  <c r="H317" i="11"/>
  <c r="F318" i="11" l="1"/>
  <c r="I318" i="11"/>
  <c r="G318" i="11"/>
  <c r="H318" i="11" l="1"/>
  <c r="J318" i="11"/>
  <c r="I319" i="11" l="1"/>
  <c r="F319" i="11"/>
  <c r="G319" i="11"/>
  <c r="J319" i="11" l="1"/>
  <c r="I320" i="11" s="1"/>
  <c r="G320" i="11"/>
  <c r="F320" i="11"/>
  <c r="H319" i="11"/>
  <c r="H320" i="11" l="1"/>
  <c r="J320" i="11"/>
  <c r="I321" i="11" l="1"/>
  <c r="F321" i="11"/>
  <c r="G321" i="11"/>
  <c r="H321" i="11" l="1"/>
  <c r="J321" i="11"/>
  <c r="F322" i="11" l="1"/>
  <c r="I322" i="11"/>
  <c r="G322" i="11"/>
  <c r="H322" i="11" l="1"/>
  <c r="J322" i="11"/>
  <c r="F323" i="11" l="1"/>
  <c r="I323" i="11"/>
  <c r="G323" i="11"/>
  <c r="J323" i="11" l="1"/>
  <c r="I324" i="11" s="1"/>
  <c r="H323" i="11"/>
  <c r="F324" i="11" l="1"/>
  <c r="G324" i="11"/>
  <c r="H324" i="11"/>
  <c r="J324" i="11"/>
  <c r="F325" i="11" l="1"/>
  <c r="G325" i="11"/>
  <c r="I325" i="11"/>
  <c r="H325" i="11" s="1"/>
  <c r="J325" i="11" l="1"/>
  <c r="I326" i="11" l="1"/>
  <c r="G326" i="11"/>
  <c r="F326" i="11"/>
  <c r="H326" i="11" l="1"/>
  <c r="J326" i="11"/>
  <c r="I327" i="11" l="1"/>
  <c r="G327" i="11"/>
  <c r="F327" i="11"/>
  <c r="H327" i="11" l="1"/>
  <c r="J327" i="11"/>
  <c r="F328" i="11" l="1"/>
  <c r="G328" i="11"/>
  <c r="I328" i="11"/>
  <c r="H328" i="11" s="1"/>
  <c r="J328" i="11" l="1"/>
  <c r="F329" i="11" l="1"/>
  <c r="G329" i="11"/>
  <c r="I329" i="11"/>
  <c r="H329" i="11" s="1"/>
  <c r="J329" i="11" l="1"/>
  <c r="G330" i="11" l="1"/>
  <c r="F330" i="11"/>
  <c r="I330" i="11"/>
  <c r="H330" i="11" s="1"/>
  <c r="J330" i="11" l="1"/>
  <c r="F331" i="11" l="1"/>
  <c r="G331" i="11"/>
  <c r="I331" i="11"/>
  <c r="H331" i="11" s="1"/>
  <c r="J331" i="11" l="1"/>
  <c r="I332" i="11" l="1"/>
  <c r="G332" i="11"/>
  <c r="F332" i="11"/>
  <c r="J332" i="11" l="1"/>
  <c r="F333" i="11" s="1"/>
  <c r="H332" i="11"/>
  <c r="I333" i="11" l="1"/>
  <c r="G333" i="11"/>
  <c r="H333" i="11" l="1"/>
  <c r="J333" i="11"/>
  <c r="F334" i="11"/>
  <c r="I334" i="11"/>
  <c r="J334" i="11" s="1"/>
  <c r="G334" i="11"/>
  <c r="I335" i="11" l="1"/>
  <c r="G335" i="11"/>
  <c r="F335" i="11"/>
  <c r="H334" i="11"/>
  <c r="H335" i="11" l="1"/>
  <c r="J335" i="11"/>
  <c r="F336" i="11" l="1"/>
  <c r="I336" i="11"/>
  <c r="G336" i="11"/>
  <c r="H336" i="11" l="1"/>
  <c r="J336" i="11"/>
  <c r="G337" i="11" l="1"/>
  <c r="I337" i="11"/>
  <c r="F337" i="11"/>
  <c r="H337" i="11" l="1"/>
  <c r="J337" i="11"/>
  <c r="F338" i="11" l="1"/>
  <c r="G338" i="11"/>
  <c r="I338" i="11"/>
  <c r="H338" i="11" s="1"/>
  <c r="J338" i="11" l="1"/>
  <c r="G339" i="11" l="1"/>
  <c r="F339" i="11"/>
  <c r="I339" i="11"/>
  <c r="H339" i="11" l="1"/>
  <c r="J339" i="11"/>
  <c r="F340" i="11" l="1"/>
  <c r="G340" i="11"/>
  <c r="I340" i="11"/>
  <c r="H340" i="11" l="1"/>
  <c r="J340" i="11"/>
  <c r="I341" i="11" l="1"/>
  <c r="F341" i="11"/>
  <c r="G341" i="11"/>
  <c r="H341" i="11" l="1"/>
  <c r="J341" i="11"/>
  <c r="I342" i="11" l="1"/>
  <c r="F342" i="11"/>
  <c r="G342" i="11"/>
  <c r="H342" i="11" l="1"/>
  <c r="J342" i="11"/>
  <c r="G343" i="11" l="1"/>
  <c r="F343" i="11"/>
  <c r="I343" i="11"/>
  <c r="H343" i="11" l="1"/>
  <c r="J343" i="11"/>
  <c r="F344" i="11" l="1"/>
  <c r="I344" i="11"/>
  <c r="G344" i="11"/>
  <c r="J344" i="11" l="1"/>
  <c r="H344" i="11"/>
  <c r="F345" i="11" l="1"/>
  <c r="G345" i="11"/>
  <c r="I345" i="11"/>
  <c r="H345" i="11" l="1"/>
  <c r="J345" i="11"/>
  <c r="I346" i="11" l="1"/>
  <c r="G346" i="11"/>
  <c r="F346" i="11"/>
  <c r="H346" i="11" l="1"/>
  <c r="J346" i="11"/>
  <c r="F347" i="11" l="1"/>
  <c r="I347" i="11"/>
  <c r="G347" i="11"/>
  <c r="H347" i="11" l="1"/>
  <c r="J347" i="11"/>
  <c r="I348" i="11" l="1"/>
  <c r="G348" i="11"/>
  <c r="F348" i="11"/>
  <c r="H348" i="11" l="1"/>
  <c r="J348" i="11"/>
  <c r="G349" i="11" l="1"/>
  <c r="F349" i="11"/>
  <c r="I349" i="11"/>
  <c r="H349" i="11" l="1"/>
  <c r="J349" i="11"/>
  <c r="G350" i="11" l="1"/>
  <c r="I350" i="11"/>
  <c r="F350" i="11"/>
  <c r="H350" i="11" l="1"/>
  <c r="J350" i="11"/>
  <c r="F351" i="11" l="1"/>
  <c r="I351" i="11"/>
  <c r="G351" i="11"/>
  <c r="H351" i="11" l="1"/>
  <c r="J351" i="11"/>
  <c r="F352" i="11" l="1"/>
  <c r="G352" i="11"/>
  <c r="I352" i="11"/>
  <c r="H352" i="11" l="1"/>
  <c r="J352" i="11"/>
  <c r="F353" i="11" l="1"/>
  <c r="G353" i="11"/>
  <c r="I353" i="11"/>
  <c r="H353" i="11" l="1"/>
  <c r="J353" i="11"/>
  <c r="I354" i="11" l="1"/>
  <c r="F354" i="11"/>
  <c r="G354" i="11"/>
  <c r="H354" i="11" l="1"/>
  <c r="J354" i="11"/>
  <c r="F355" i="11" l="1"/>
  <c r="G355" i="11"/>
  <c r="I355" i="11"/>
  <c r="H355" i="11" l="1"/>
  <c r="J355" i="11"/>
  <c r="G356" i="11" l="1"/>
  <c r="F356" i="11"/>
  <c r="I356" i="11"/>
  <c r="H356" i="11" l="1"/>
  <c r="J356" i="11"/>
  <c r="I357" i="11" l="1"/>
  <c r="F357" i="11"/>
  <c r="G357" i="11"/>
  <c r="J357" i="11" l="1"/>
  <c r="H357" i="11"/>
  <c r="I358" i="11" l="1"/>
  <c r="G358" i="11"/>
  <c r="F358" i="11"/>
  <c r="J358" i="11" l="1"/>
  <c r="F359" i="11" s="1"/>
  <c r="H358" i="11"/>
  <c r="G359" i="11" l="1"/>
  <c r="I359" i="11"/>
  <c r="H359" i="11" s="1"/>
  <c r="J359" i="11" l="1"/>
  <c r="G360" i="11" s="1"/>
  <c r="I360" i="11" l="1"/>
  <c r="H360" i="11" s="1"/>
  <c r="F360" i="11"/>
  <c r="J360" i="11" l="1"/>
  <c r="G361" i="11"/>
  <c r="F361" i="11"/>
  <c r="I361" i="11"/>
  <c r="J361" i="11" l="1"/>
  <c r="H361" i="11"/>
  <c r="F362" i="11" l="1"/>
  <c r="G362" i="11"/>
  <c r="I362" i="11"/>
  <c r="J362" i="11" l="1"/>
  <c r="H362" i="11"/>
  <c r="F363" i="11" l="1"/>
  <c r="I363" i="11"/>
  <c r="G363" i="11"/>
  <c r="H363" i="11" l="1"/>
  <c r="J363" i="11"/>
  <c r="I364" i="11" l="1"/>
  <c r="F364" i="11"/>
  <c r="G364" i="11"/>
  <c r="J364" i="11" l="1"/>
  <c r="H364" i="11"/>
  <c r="I365" i="11" l="1"/>
  <c r="F365" i="11"/>
  <c r="G365" i="11"/>
  <c r="H365" i="11" l="1"/>
  <c r="J365" i="11"/>
  <c r="I366" i="11" l="1"/>
  <c r="F366" i="11"/>
  <c r="G366" i="11"/>
  <c r="H366" i="11" l="1"/>
  <c r="J366" i="11"/>
  <c r="F367" i="11" l="1"/>
  <c r="I367" i="11"/>
  <c r="G367" i="11"/>
  <c r="H367" i="11" l="1"/>
  <c r="J367" i="11"/>
  <c r="I368" i="11" l="1"/>
  <c r="F368" i="11"/>
  <c r="G368" i="11"/>
  <c r="H368" i="11" l="1"/>
  <c r="J368" i="11"/>
  <c r="I369" i="11" l="1"/>
  <c r="F369" i="11"/>
  <c r="G369" i="11"/>
  <c r="J369" i="11" l="1"/>
  <c r="G370" i="11"/>
  <c r="F370" i="11"/>
  <c r="I370" i="11"/>
  <c r="H370" i="11" s="1"/>
  <c r="H369" i="11"/>
  <c r="J370" i="11" l="1"/>
  <c r="G371" i="11" l="1"/>
  <c r="I371" i="11"/>
  <c r="H371" i="11" s="1"/>
  <c r="F371" i="11"/>
  <c r="J371" i="11" l="1"/>
  <c r="F372" i="11" l="1"/>
  <c r="G372" i="11"/>
  <c r="I372" i="11"/>
  <c r="H372" i="11" s="1"/>
  <c r="J372" i="11" l="1"/>
  <c r="I373" i="11" l="1"/>
  <c r="F373" i="11"/>
  <c r="G373" i="11"/>
  <c r="H373" i="11" l="1"/>
  <c r="J373" i="11"/>
  <c r="I374" i="11" l="1"/>
  <c r="F374" i="11"/>
  <c r="G374" i="11"/>
  <c r="J374" i="11" l="1"/>
  <c r="F375" i="11" s="1"/>
  <c r="G375" i="11"/>
  <c r="I375" i="11"/>
  <c r="H374" i="11"/>
  <c r="J375" i="11" l="1"/>
  <c r="H375" i="11"/>
  <c r="F376" i="11" l="1"/>
  <c r="I376" i="11"/>
  <c r="G376" i="11"/>
  <c r="H376" i="11" l="1"/>
  <c r="J376" i="11"/>
  <c r="G377" i="11" l="1"/>
  <c r="F377" i="11"/>
  <c r="I377" i="11"/>
  <c r="H377" i="11" l="1"/>
  <c r="J377" i="11"/>
  <c r="I378" i="11" l="1"/>
  <c r="F378" i="11"/>
  <c r="G378" i="11"/>
  <c r="J378" i="11" l="1"/>
  <c r="H378" i="11"/>
  <c r="I379" i="11" l="1"/>
  <c r="G379" i="11"/>
  <c r="F379" i="11"/>
  <c r="H379" i="11" l="1"/>
  <c r="J379" i="11"/>
  <c r="F380" i="11" l="1"/>
  <c r="I380" i="11"/>
  <c r="G380" i="11"/>
  <c r="H380" i="11" l="1"/>
  <c r="J380" i="11"/>
  <c r="F381" i="11" l="1"/>
  <c r="I381" i="11"/>
  <c r="G381" i="11"/>
  <c r="H381" i="11" l="1"/>
  <c r="J381" i="11"/>
  <c r="F382" i="11" l="1"/>
  <c r="I382" i="11"/>
  <c r="G382" i="11"/>
  <c r="H382" i="11" l="1"/>
  <c r="J382" i="11"/>
  <c r="F383" i="11" l="1"/>
  <c r="G383" i="11"/>
  <c r="I383" i="11"/>
  <c r="H383" i="11" l="1"/>
  <c r="J383" i="11"/>
  <c r="G384" i="11" l="1"/>
  <c r="F384" i="11"/>
  <c r="I384" i="11"/>
  <c r="H384" i="11" l="1"/>
  <c r="J384" i="11"/>
</calcChain>
</file>

<file path=xl/comments1.xml><?xml version="1.0" encoding="utf-8"?>
<comments xmlns="http://schemas.openxmlformats.org/spreadsheetml/2006/main">
  <authors>
    <author>Laura Willerton</author>
  </authors>
  <commentList>
    <comment ref="M4" authorId="0" shapeId="0">
      <text>
        <r>
          <rPr>
            <b/>
            <sz val="9"/>
            <color indexed="81"/>
            <rFont val="Tahoma"/>
            <charset val="1"/>
          </rPr>
          <t>Laura Willerton:</t>
        </r>
        <r>
          <rPr>
            <sz val="9"/>
            <color indexed="81"/>
            <rFont val="Tahoma"/>
            <charset val="1"/>
          </rPr>
          <t xml:space="preserve">
block
</t>
        </r>
      </text>
    </comment>
    <comment ref="M5" authorId="0" shapeId="0">
      <text>
        <r>
          <rPr>
            <b/>
            <sz val="9"/>
            <color indexed="81"/>
            <rFont val="Tahoma"/>
            <family val="2"/>
          </rPr>
          <t>Laura Willerton:</t>
        </r>
        <r>
          <rPr>
            <sz val="9"/>
            <color indexed="81"/>
            <rFont val="Tahoma"/>
            <family val="2"/>
          </rPr>
          <t xml:space="preserve">
block</t>
        </r>
      </text>
    </comment>
    <comment ref="H6" authorId="0" shapeId="0">
      <text>
        <r>
          <rPr>
            <b/>
            <sz val="9"/>
            <color indexed="81"/>
            <rFont val="Tahoma"/>
            <family val="2"/>
          </rPr>
          <t>Laura Willerton:</t>
        </r>
        <r>
          <rPr>
            <sz val="9"/>
            <color indexed="81"/>
            <rFont val="Tahoma"/>
            <family val="2"/>
          </rPr>
          <t xml:space="preserve">
block</t>
        </r>
      </text>
    </comment>
    <comment ref="M6" authorId="0" shapeId="0">
      <text>
        <r>
          <rPr>
            <b/>
            <sz val="9"/>
            <color indexed="81"/>
            <rFont val="Tahoma"/>
            <family val="2"/>
          </rPr>
          <t>Laura Willerton:</t>
        </r>
        <r>
          <rPr>
            <sz val="9"/>
            <color indexed="81"/>
            <rFont val="Tahoma"/>
            <family val="2"/>
          </rPr>
          <t xml:space="preserve">
block</t>
        </r>
      </text>
    </comment>
    <comment ref="H8" authorId="0" shapeId="0">
      <text>
        <r>
          <rPr>
            <b/>
            <sz val="9"/>
            <color indexed="81"/>
            <rFont val="Tahoma"/>
            <charset val="1"/>
          </rPr>
          <t>Laura Willerton:</t>
        </r>
        <r>
          <rPr>
            <sz val="9"/>
            <color indexed="81"/>
            <rFont val="Tahoma"/>
            <charset val="1"/>
          </rPr>
          <t xml:space="preserve">
block</t>
        </r>
      </text>
    </comment>
    <comment ref="M8" authorId="0" shapeId="0">
      <text>
        <r>
          <rPr>
            <b/>
            <sz val="9"/>
            <color indexed="81"/>
            <rFont val="Tahoma"/>
            <family val="2"/>
          </rPr>
          <t>Laura Willerton:</t>
        </r>
        <r>
          <rPr>
            <sz val="9"/>
            <color indexed="81"/>
            <rFont val="Tahoma"/>
            <family val="2"/>
          </rPr>
          <t xml:space="preserve">
block</t>
        </r>
      </text>
    </comment>
    <comment ref="H9" authorId="0" shapeId="0">
      <text>
        <r>
          <rPr>
            <b/>
            <sz val="9"/>
            <color indexed="81"/>
            <rFont val="Tahoma"/>
            <family val="2"/>
          </rPr>
          <t>Laura Willerton:</t>
        </r>
        <r>
          <rPr>
            <sz val="9"/>
            <color indexed="81"/>
            <rFont val="Tahoma"/>
            <family val="2"/>
          </rPr>
          <t xml:space="preserve">
block</t>
        </r>
      </text>
    </comment>
    <comment ref="M14" authorId="0" shapeId="0">
      <text>
        <r>
          <rPr>
            <b/>
            <sz val="9"/>
            <color indexed="81"/>
            <rFont val="Tahoma"/>
            <family val="2"/>
          </rPr>
          <t>Laura Willerton:</t>
        </r>
        <r>
          <rPr>
            <sz val="9"/>
            <color indexed="81"/>
            <rFont val="Tahoma"/>
            <family val="2"/>
          </rPr>
          <t xml:space="preserve">
block
</t>
        </r>
      </text>
    </comment>
    <comment ref="N14" authorId="0" shapeId="0">
      <text>
        <r>
          <rPr>
            <b/>
            <sz val="9"/>
            <color indexed="81"/>
            <rFont val="Tahoma"/>
            <family val="2"/>
          </rPr>
          <t>Laura Willerton:</t>
        </r>
        <r>
          <rPr>
            <sz val="9"/>
            <color indexed="81"/>
            <rFont val="Tahoma"/>
            <family val="2"/>
          </rPr>
          <t xml:space="preserve">
block</t>
        </r>
      </text>
    </comment>
    <comment ref="H16" authorId="0" shapeId="0">
      <text>
        <r>
          <rPr>
            <b/>
            <sz val="9"/>
            <color indexed="81"/>
            <rFont val="Tahoma"/>
            <family val="2"/>
          </rPr>
          <t>Laura Willerton:</t>
        </r>
        <r>
          <rPr>
            <sz val="9"/>
            <color indexed="81"/>
            <rFont val="Tahoma"/>
            <family val="2"/>
          </rPr>
          <t xml:space="preserve">
block</t>
        </r>
      </text>
    </comment>
    <comment ref="H17" authorId="0" shapeId="0">
      <text>
        <r>
          <rPr>
            <b/>
            <sz val="9"/>
            <color indexed="81"/>
            <rFont val="Tahoma"/>
            <family val="2"/>
          </rPr>
          <t>Laura Willerton:</t>
        </r>
        <r>
          <rPr>
            <sz val="9"/>
            <color indexed="81"/>
            <rFont val="Tahoma"/>
            <family val="2"/>
          </rPr>
          <t xml:space="preserve">
block</t>
        </r>
      </text>
    </comment>
    <comment ref="J20" authorId="0" shapeId="0">
      <text>
        <r>
          <rPr>
            <b/>
            <sz val="9"/>
            <color indexed="81"/>
            <rFont val="Tahoma"/>
            <family val="2"/>
          </rPr>
          <t>Laura Willerton:</t>
        </r>
        <r>
          <rPr>
            <sz val="9"/>
            <color indexed="81"/>
            <rFont val="Tahoma"/>
            <family val="2"/>
          </rPr>
          <t xml:space="preserve">
block all fields
</t>
        </r>
      </text>
    </comment>
  </commentList>
</comments>
</file>

<file path=xl/sharedStrings.xml><?xml version="1.0" encoding="utf-8"?>
<sst xmlns="http://schemas.openxmlformats.org/spreadsheetml/2006/main" count="67" uniqueCount="61">
  <si>
    <t>Interest</t>
  </si>
  <si>
    <t>Balance</t>
  </si>
  <si>
    <t>Date</t>
  </si>
  <si>
    <t>pa</t>
  </si>
  <si>
    <t>Year</t>
  </si>
  <si>
    <t>Capital</t>
  </si>
  <si>
    <t>Payment</t>
  </si>
  <si>
    <t>Current Base Rate</t>
  </si>
  <si>
    <t>Term remaining (in months)</t>
  </si>
  <si>
    <t>Frequency of Payments</t>
  </si>
  <si>
    <t>Current</t>
  </si>
  <si>
    <t>Interest Margin</t>
  </si>
  <si>
    <t>Monthly</t>
  </si>
  <si>
    <t>Override Capital Payment</t>
  </si>
  <si>
    <t>Override Interest Payment</t>
  </si>
  <si>
    <t>Interest Accrued</t>
  </si>
  <si>
    <t>Term of Loan</t>
  </si>
  <si>
    <t>Next repayment due</t>
  </si>
  <si>
    <t xml:space="preserve">Base Rate </t>
  </si>
  <si>
    <t>Repayments per year</t>
  </si>
  <si>
    <t>Total Repayments</t>
  </si>
  <si>
    <t>Total interest rate</t>
  </si>
  <si>
    <t>Initial Repayment (calculated)</t>
  </si>
  <si>
    <t>Interest Rate</t>
  </si>
  <si>
    <t>Original Repayment Term in months</t>
  </si>
  <si>
    <t>Bounce Back Loan Amount</t>
  </si>
  <si>
    <t>Yes</t>
  </si>
  <si>
    <t>Full Repayment Holiday</t>
  </si>
  <si>
    <t>No</t>
  </si>
  <si>
    <t>Total Monthly Repayment</t>
  </si>
  <si>
    <t>Of which Capital</t>
  </si>
  <si>
    <t>Of which Interest</t>
  </si>
  <si>
    <t>Remaining Balance</t>
  </si>
  <si>
    <t>Start</t>
  </si>
  <si>
    <t>Total Repayment Amount</t>
  </si>
  <si>
    <t>Total Capital Repaid</t>
  </si>
  <si>
    <t>Summary</t>
  </si>
  <si>
    <t>Repayment Period</t>
  </si>
  <si>
    <t>Capital Repayment Holiday 1</t>
  </si>
  <si>
    <t>Capital Repayment Holiday 2</t>
  </si>
  <si>
    <t>Capital Repayment 3</t>
  </si>
  <si>
    <t>Timings Table</t>
  </si>
  <si>
    <t>Timings Options</t>
  </si>
  <si>
    <t>Total Interest Payable</t>
  </si>
  <si>
    <t>Guidance</t>
  </si>
  <si>
    <t>Overall Loan Term in Months</t>
  </si>
  <si>
    <t>Insert your total Bounce Back Loan amount, including any Top-Up amount</t>
  </si>
  <si>
    <t>Indicative Monthly Repayment Profile</t>
  </si>
  <si>
    <t>Variables</t>
  </si>
  <si>
    <t>This calculator is designed to provide you with the indicative impact of the Pay As You Grow options for your Bounce Back Loan.</t>
  </si>
  <si>
    <t>Guidance is provided to help build the most accurate possible indicative monthly repayment profile for your Pay As You Grow options</t>
  </si>
  <si>
    <t>Simply insert your Bounce Back Loan amount and select the Pay As You Grow options that you wish to select to see the indicative monthly repayment profile. You should then complete the drop down list for any field highlighted in yellow.</t>
  </si>
  <si>
    <t>Option 1a - Interest Only for 6 months</t>
  </si>
  <si>
    <t>Select whether you'd like to pay interest only for six months to reduce your monthly repayments. This option is available up to three times during the term of your Bounce Back Loan</t>
  </si>
  <si>
    <t>Option 1b - Payment Holiday for 6 months</t>
  </si>
  <si>
    <t>Option 2 - Term extension to 10 years</t>
  </si>
  <si>
    <t>Select whether you'd like to take a payment holiday for six months. This option is available once during the term of your Bounce Back Loan</t>
  </si>
  <si>
    <t>PAY AS YOU GROW - INDICATIVE OPTIONS CALCULATOR</t>
  </si>
  <si>
    <t>Important information
This calculator is for illustrative purposes only to help indicate the potential impact of Pay As You Grow options. If you wish to use the Pay As You Grow options, please complete the application form on our website. Your amended repayment profile will be confirmed to you once we’ve received your Pay As You Grow request and you will be required to sign loan documentation to confirm that you agree to this. Please note that you will be required to submit separate Pay As You Grow requests if you wish to take multiple interest only periods or payment holidays.</t>
  </si>
  <si>
    <t>Select whether you'd like to extend the term of the Bounce Back Loan to 10 years to reduce monthly repayments</t>
  </si>
  <si>
    <t>Please note that you can only apply for one interest only period or repayment holiday at once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</si>
</sst>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mmm\-yy"/>
    <numFmt numFmtId="165" formatCode="#,##0.0"/>
  </numFmts>
  <fonts count="12" x14ac:knownFonts="1">
    <font>
      <sz val="10"/>
      <name val="Arial"/>
    </font>
    <font>
      <sz val="10"/>
      <name val="Arial"/>
      <family val="2"/>
    </font>
    <font>
      <sz val="10"/>
      <name val="Arial"/>
      <family val="2"/>
    </font>
    <font>
      <b/>
      <sz val="10"/>
      <name val="Arial"/>
      <family val="2"/>
    </font>
    <font>
      <sz val="10"/>
      <name val="Arial"/>
      <family val="2"/>
    </font>
    <font>
      <sz val="10"/>
      <color theme="0" tint="-0.249977111117893"/>
      <name val="Arial"/>
      <family val="2"/>
    </font>
    <font>
      <sz val="9"/>
      <color indexed="81"/>
      <name val="Tahoma"/>
      <charset val="1"/>
    </font>
    <font>
      <b/>
      <sz val="9"/>
      <color indexed="81"/>
      <name val="Tahoma"/>
      <charset val="1"/>
    </font>
    <font>
      <sz val="9"/>
      <color indexed="81"/>
      <name val="Tahoma"/>
      <family val="2"/>
    </font>
    <font>
      <b/>
      <sz val="9"/>
      <color indexed="81"/>
      <name val="Tahoma"/>
      <family val="2"/>
    </font>
    <font>
      <sz val="10"/>
      <color rgb="FFFF0000"/>
      <name val="Arial"/>
      <family val="2"/>
    </font>
    <font>
      <b/>
      <i/>
      <sz val="1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medium">
        <color indexed="64"/>
      </left>
      <right style="medium">
        <color auto="1"/>
      </right>
      <top style="medium">
        <color indexed="64"/>
      </top>
      <bottom style="thin">
        <color auto="1"/>
      </bottom>
      <diagonal/>
    </border>
    <border>
      <left style="medium">
        <color indexed="64"/>
      </left>
      <right style="medium">
        <color auto="1"/>
      </right>
      <top style="thin">
        <color auto="1"/>
      </top>
      <bottom style="thin">
        <color auto="1"/>
      </bottom>
      <diagonal/>
    </border>
    <border>
      <left style="medium">
        <color indexed="64"/>
      </left>
      <right style="medium">
        <color auto="1"/>
      </right>
      <top style="thin">
        <color auto="1"/>
      </top>
      <bottom style="medium">
        <color indexed="64"/>
      </bottom>
      <diagonal/>
    </border>
    <border>
      <left/>
      <right style="medium">
        <color theme="0"/>
      </right>
      <top style="medium">
        <color indexed="64"/>
      </top>
      <bottom style="medium">
        <color indexed="64"/>
      </bottom>
      <diagonal/>
    </border>
    <border>
      <left/>
      <right style="thin">
        <color theme="0"/>
      </right>
      <top/>
      <bottom/>
      <diagonal/>
    </border>
    <border>
      <left style="thin">
        <color theme="0"/>
      </left>
      <right style="thin">
        <color theme="0"/>
      </right>
      <top/>
      <bottom/>
      <diagonal/>
    </border>
  </borders>
  <cellStyleXfs count="6">
    <xf numFmtId="0" fontId="0" fillId="0" borderId="0"/>
    <xf numFmtId="43" fontId="1" fillId="0" borderId="0" applyFont="0" applyFill="0" applyBorder="0" applyAlignment="0" applyProtection="0"/>
    <xf numFmtId="43" fontId="4" fillId="0" borderId="0" applyFont="0" applyFill="0" applyBorder="0" applyAlignment="0" applyProtection="0"/>
    <xf numFmtId="0" fontId="2" fillId="0" borderId="0"/>
    <xf numFmtId="9" fontId="2" fillId="0" borderId="0" applyFont="0" applyFill="0" applyBorder="0" applyAlignment="0" applyProtection="0"/>
    <xf numFmtId="9" fontId="4" fillId="0" borderId="0" applyFont="0" applyFill="0" applyBorder="0" applyAlignment="0" applyProtection="0"/>
  </cellStyleXfs>
  <cellXfs count="118">
    <xf numFmtId="0" fontId="0" fillId="0" borderId="0" xfId="0"/>
    <xf numFmtId="0" fontId="0" fillId="0" borderId="0" xfId="0"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right" vertical="center"/>
    </xf>
    <xf numFmtId="0" fontId="2" fillId="0" borderId="0" xfId="0" applyFont="1" applyAlignment="1" applyProtection="1">
      <alignment horizontal="right" vertical="center"/>
    </xf>
    <xf numFmtId="0" fontId="2" fillId="0" borderId="0" xfId="0" applyFont="1" applyAlignment="1" applyProtection="1">
      <alignment vertical="center"/>
    </xf>
    <xf numFmtId="4" fontId="0" fillId="0" borderId="1" xfId="0" applyNumberFormat="1" applyBorder="1" applyAlignment="1" applyProtection="1">
      <alignment horizontal="center" vertical="center"/>
    </xf>
    <xf numFmtId="4" fontId="0" fillId="0" borderId="0" xfId="0" applyNumberFormat="1" applyBorder="1" applyAlignment="1" applyProtection="1">
      <alignment vertical="center"/>
    </xf>
    <xf numFmtId="0" fontId="5" fillId="0" borderId="0" xfId="0" applyFont="1" applyAlignment="1" applyProtection="1">
      <alignment horizontal="center" vertical="center"/>
    </xf>
    <xf numFmtId="0" fontId="0" fillId="0" borderId="1" xfId="0" applyBorder="1" applyAlignment="1" applyProtection="1">
      <alignment vertical="center"/>
    </xf>
    <xf numFmtId="0" fontId="0" fillId="2" borderId="1" xfId="0" applyFill="1" applyBorder="1" applyAlignment="1" applyProtection="1">
      <alignment horizontal="center" vertical="center"/>
    </xf>
    <xf numFmtId="164" fontId="2" fillId="0" borderId="1" xfId="0" applyNumberFormat="1" applyFont="1" applyBorder="1" applyAlignment="1" applyProtection="1">
      <alignment vertical="center"/>
    </xf>
    <xf numFmtId="3" fontId="0" fillId="2" borderId="1" xfId="0" applyNumberFormat="1" applyFill="1" applyBorder="1" applyAlignment="1" applyProtection="1">
      <alignment horizontal="center" vertical="center"/>
    </xf>
    <xf numFmtId="164" fontId="0" fillId="0" borderId="1" xfId="0" applyNumberFormat="1" applyBorder="1" applyAlignment="1" applyProtection="1">
      <alignment vertical="center"/>
    </xf>
    <xf numFmtId="3" fontId="0" fillId="0" borderId="0" xfId="0" applyNumberFormat="1" applyAlignment="1" applyProtection="1">
      <alignment vertical="center"/>
    </xf>
    <xf numFmtId="0" fontId="2" fillId="0" borderId="0" xfId="0" applyFont="1" applyAlignment="1" applyProtection="1">
      <alignment horizontal="center" vertical="center"/>
    </xf>
    <xf numFmtId="0" fontId="0" fillId="0" borderId="0" xfId="0" applyFill="1" applyAlignment="1" applyProtection="1">
      <alignment vertical="center"/>
    </xf>
    <xf numFmtId="43" fontId="0" fillId="0" borderId="0" xfId="2" applyFont="1" applyAlignment="1" applyProtection="1">
      <alignment vertical="center"/>
    </xf>
    <xf numFmtId="10" fontId="0" fillId="3" borderId="1" xfId="0" applyNumberFormat="1" applyFill="1" applyBorder="1" applyAlignment="1" applyProtection="1">
      <alignment horizontal="center" vertical="center"/>
      <protection locked="0"/>
    </xf>
    <xf numFmtId="0" fontId="1" fillId="0" borderId="0" xfId="0" applyFont="1" applyAlignment="1" applyProtection="1">
      <alignment horizontal="right" vertical="center"/>
    </xf>
    <xf numFmtId="3" fontId="0" fillId="3" borderId="1" xfId="0" applyNumberFormat="1" applyFill="1" applyBorder="1" applyAlignment="1" applyProtection="1">
      <alignment horizontal="center" vertical="center"/>
      <protection locked="0"/>
    </xf>
    <xf numFmtId="164" fontId="0" fillId="3" borderId="1" xfId="0" applyNumberFormat="1" applyFill="1" applyBorder="1" applyAlignment="1" applyProtection="1">
      <alignment horizontal="center" vertical="center"/>
      <protection locked="0"/>
    </xf>
    <xf numFmtId="3" fontId="0" fillId="0" borderId="1" xfId="0" applyNumberFormat="1" applyFill="1" applyBorder="1" applyAlignment="1" applyProtection="1">
      <alignment horizontal="center" vertical="center"/>
    </xf>
    <xf numFmtId="0" fontId="0" fillId="0" borderId="1" xfId="0" applyFill="1" applyBorder="1" applyAlignment="1" applyProtection="1">
      <alignment horizontal="center" vertical="center"/>
    </xf>
    <xf numFmtId="165" fontId="0" fillId="0" borderId="1" xfId="0" applyNumberFormat="1" applyFill="1" applyBorder="1" applyAlignment="1" applyProtection="1">
      <alignment horizontal="center" vertical="center"/>
    </xf>
    <xf numFmtId="10" fontId="0" fillId="0" borderId="1" xfId="0" applyNumberFormat="1" applyFill="1" applyBorder="1" applyAlignment="1" applyProtection="1">
      <alignment horizontal="center" vertical="center"/>
    </xf>
    <xf numFmtId="4" fontId="0" fillId="0" borderId="1" xfId="0" applyNumberFormat="1" applyFill="1" applyBorder="1" applyAlignment="1" applyProtection="1">
      <alignment horizontal="center" vertical="center"/>
    </xf>
    <xf numFmtId="4" fontId="0" fillId="4" borderId="1" xfId="1" applyNumberFormat="1" applyFont="1" applyFill="1" applyBorder="1" applyAlignment="1" applyProtection="1">
      <alignment horizontal="center" vertical="center"/>
      <protection locked="0"/>
    </xf>
    <xf numFmtId="10" fontId="0" fillId="3" borderId="1" xfId="0" applyNumberFormat="1" applyFill="1" applyBorder="1" applyAlignment="1" applyProtection="1">
      <alignment horizontal="center" vertical="center"/>
    </xf>
    <xf numFmtId="4" fontId="0" fillId="2" borderId="1" xfId="0" applyNumberFormat="1" applyFill="1" applyBorder="1" applyAlignment="1" applyProtection="1">
      <alignment horizontal="center" vertical="center"/>
    </xf>
    <xf numFmtId="4" fontId="0" fillId="5" borderId="1" xfId="0" applyNumberFormat="1" applyFill="1" applyBorder="1" applyAlignment="1" applyProtection="1">
      <alignment vertical="center"/>
    </xf>
    <xf numFmtId="2" fontId="0" fillId="5" borderId="1" xfId="0" applyNumberFormat="1" applyFill="1" applyBorder="1" applyAlignment="1" applyProtection="1">
      <alignment vertical="center"/>
    </xf>
    <xf numFmtId="0" fontId="1" fillId="0" borderId="0" xfId="0" applyFont="1" applyAlignment="1" applyProtection="1">
      <alignment horizontal="right" vertical="center"/>
    </xf>
    <xf numFmtId="0" fontId="0" fillId="0" borderId="0" xfId="0" applyBorder="1" applyAlignment="1" applyProtection="1">
      <alignment vertical="center"/>
    </xf>
    <xf numFmtId="0" fontId="0" fillId="0" borderId="0" xfId="0" applyFill="1" applyBorder="1" applyAlignment="1" applyProtection="1">
      <alignment vertical="center"/>
    </xf>
    <xf numFmtId="0" fontId="2" fillId="0" borderId="0" xfId="0" applyFont="1" applyFill="1" applyBorder="1" applyAlignment="1" applyProtection="1">
      <alignment horizontal="right" vertical="center"/>
    </xf>
    <xf numFmtId="10" fontId="0" fillId="0" borderId="0" xfId="0" applyNumberFormat="1" applyFill="1" applyBorder="1" applyAlignment="1" applyProtection="1">
      <alignment horizontal="center" vertical="center"/>
    </xf>
    <xf numFmtId="164" fontId="0" fillId="0" borderId="0" xfId="0" applyNumberFormat="1" applyFill="1" applyBorder="1" applyAlignment="1" applyProtection="1">
      <alignment horizontal="center" vertical="center"/>
    </xf>
    <xf numFmtId="0" fontId="1" fillId="0" borderId="0" xfId="0" applyFont="1" applyFill="1" applyBorder="1" applyAlignment="1" applyProtection="1">
      <alignment horizontal="right" vertical="center"/>
    </xf>
    <xf numFmtId="0" fontId="0" fillId="0" borderId="0" xfId="0" applyFill="1" applyBorder="1" applyAlignment="1" applyProtection="1">
      <alignment horizontal="center" vertical="center"/>
    </xf>
    <xf numFmtId="4" fontId="0" fillId="0" borderId="0" xfId="0" applyNumberFormat="1" applyFill="1" applyBorder="1" applyAlignment="1" applyProtection="1">
      <alignment horizontal="center" vertical="center"/>
    </xf>
    <xf numFmtId="3" fontId="0" fillId="0" borderId="0" xfId="0" applyNumberFormat="1" applyFill="1" applyBorder="1" applyAlignment="1" applyProtection="1">
      <alignment horizontal="center" vertical="center"/>
    </xf>
    <xf numFmtId="4" fontId="0" fillId="0" borderId="0" xfId="0" applyNumberFormat="1" applyBorder="1" applyAlignment="1" applyProtection="1">
      <alignment horizontal="center" vertical="center"/>
    </xf>
    <xf numFmtId="0" fontId="2" fillId="0" borderId="0" xfId="0" applyFont="1" applyBorder="1" applyAlignment="1" applyProtection="1">
      <alignment horizontal="right" vertical="center"/>
    </xf>
    <xf numFmtId="2" fontId="0" fillId="2" borderId="1" xfId="0" applyNumberFormat="1" applyFill="1" applyBorder="1" applyAlignment="1" applyProtection="1">
      <alignment horizontal="center" vertical="center"/>
    </xf>
    <xf numFmtId="4" fontId="0" fillId="5" borderId="1" xfId="0" applyNumberFormat="1" applyFill="1" applyBorder="1" applyAlignment="1" applyProtection="1">
      <alignment horizontal="center" vertical="center"/>
    </xf>
    <xf numFmtId="4" fontId="1" fillId="4" borderId="1" xfId="1" applyNumberFormat="1" applyFont="1" applyFill="1" applyBorder="1" applyAlignment="1" applyProtection="1">
      <alignment horizontal="center" vertical="center"/>
      <protection locked="0"/>
    </xf>
    <xf numFmtId="0" fontId="0" fillId="0" borderId="0" xfId="0" applyProtection="1"/>
    <xf numFmtId="0" fontId="3" fillId="0" borderId="0" xfId="0" applyFont="1" applyProtection="1"/>
    <xf numFmtId="0" fontId="1" fillId="0" borderId="10" xfId="0" applyFont="1" applyBorder="1" applyAlignment="1" applyProtection="1">
      <alignment horizontal="right"/>
    </xf>
    <xf numFmtId="0" fontId="1" fillId="0" borderId="11" xfId="0" applyFont="1" applyBorder="1" applyAlignment="1" applyProtection="1">
      <alignment horizontal="left"/>
    </xf>
    <xf numFmtId="0" fontId="0" fillId="0" borderId="11" xfId="0" applyBorder="1" applyAlignment="1" applyProtection="1">
      <alignment horizontal="left"/>
    </xf>
    <xf numFmtId="0" fontId="0" fillId="0" borderId="12" xfId="0" applyBorder="1" applyAlignment="1" applyProtection="1">
      <alignment horizontal="left"/>
    </xf>
    <xf numFmtId="0" fontId="0" fillId="0" borderId="0" xfId="0" applyAlignment="1" applyProtection="1">
      <alignment horizontal="right"/>
    </xf>
    <xf numFmtId="43" fontId="0" fillId="0" borderId="0" xfId="1" applyFont="1" applyProtection="1"/>
    <xf numFmtId="4" fontId="3" fillId="0" borderId="0" xfId="0" applyNumberFormat="1" applyFont="1" applyProtection="1"/>
    <xf numFmtId="4" fontId="0" fillId="0" borderId="0" xfId="0" applyNumberFormat="1" applyProtection="1"/>
    <xf numFmtId="0" fontId="0" fillId="0" borderId="0" xfId="0" applyBorder="1" applyProtection="1"/>
    <xf numFmtId="0" fontId="0" fillId="0" borderId="13" xfId="0" applyBorder="1" applyProtection="1"/>
    <xf numFmtId="0" fontId="3" fillId="0" borderId="13" xfId="0" applyFont="1" applyBorder="1" applyProtection="1"/>
    <xf numFmtId="0" fontId="1" fillId="0" borderId="13" xfId="0" applyFont="1" applyBorder="1" applyProtection="1"/>
    <xf numFmtId="0" fontId="10" fillId="0" borderId="13" xfId="0" applyFont="1" applyBorder="1" applyAlignment="1" applyProtection="1">
      <alignment horizontal="center" vertical="center"/>
    </xf>
    <xf numFmtId="0" fontId="10" fillId="0" borderId="13" xfId="0" applyFont="1" applyBorder="1" applyAlignment="1" applyProtection="1">
      <alignment horizontal="center" vertical="center" wrapText="1"/>
    </xf>
    <xf numFmtId="0" fontId="10" fillId="0" borderId="13" xfId="0" applyFont="1" applyBorder="1" applyAlignment="1" applyProtection="1">
      <alignment horizontal="center" wrapText="1"/>
    </xf>
    <xf numFmtId="0" fontId="3" fillId="0" borderId="13" xfId="0" applyFont="1" applyBorder="1" applyAlignment="1" applyProtection="1"/>
    <xf numFmtId="0" fontId="0" fillId="0" borderId="14" xfId="0" applyBorder="1" applyProtection="1"/>
    <xf numFmtId="0" fontId="1" fillId="0" borderId="18" xfId="0" applyFont="1" applyBorder="1" applyAlignment="1" applyProtection="1">
      <alignment horizontal="center"/>
    </xf>
    <xf numFmtId="0" fontId="1" fillId="0" borderId="18" xfId="0" applyFont="1" applyBorder="1" applyAlignment="1" applyProtection="1">
      <alignment horizontal="left"/>
    </xf>
    <xf numFmtId="0" fontId="1" fillId="0" borderId="19" xfId="0" applyFont="1" applyBorder="1" applyAlignment="1" applyProtection="1">
      <alignment horizontal="center"/>
    </xf>
    <xf numFmtId="4" fontId="1" fillId="0" borderId="19" xfId="0" applyNumberFormat="1" applyFont="1" applyBorder="1" applyAlignment="1" applyProtection="1">
      <alignment horizontal="left"/>
    </xf>
    <xf numFmtId="0" fontId="1" fillId="0" borderId="20" xfId="0" applyFont="1" applyBorder="1" applyAlignment="1" applyProtection="1">
      <alignment horizontal="center"/>
    </xf>
    <xf numFmtId="4" fontId="1" fillId="0" borderId="20" xfId="0" applyNumberFormat="1" applyFont="1" applyBorder="1" applyAlignment="1" applyProtection="1">
      <alignment horizontal="left"/>
    </xf>
    <xf numFmtId="0" fontId="0" fillId="0" borderId="21" xfId="0" applyBorder="1" applyProtection="1"/>
    <xf numFmtId="0" fontId="0" fillId="0" borderId="17" xfId="0" applyBorder="1" applyProtection="1"/>
    <xf numFmtId="0" fontId="0" fillId="0" borderId="22" xfId="0" applyBorder="1" applyProtection="1"/>
    <xf numFmtId="0" fontId="0" fillId="0" borderId="23" xfId="0" applyBorder="1" applyProtection="1"/>
    <xf numFmtId="0" fontId="0" fillId="0" borderId="0" xfId="0" applyProtection="1">
      <protection locked="0"/>
    </xf>
    <xf numFmtId="0" fontId="0" fillId="0" borderId="13" xfId="0" applyBorder="1" applyProtection="1">
      <protection locked="0"/>
    </xf>
    <xf numFmtId="0" fontId="0" fillId="5" borderId="13" xfId="0" applyFill="1" applyBorder="1" applyProtection="1">
      <protection locked="0"/>
    </xf>
    <xf numFmtId="0" fontId="1" fillId="5" borderId="13" xfId="0" applyFont="1" applyFill="1" applyBorder="1" applyProtection="1">
      <protection locked="0"/>
    </xf>
    <xf numFmtId="0" fontId="1" fillId="0" borderId="13" xfId="0" applyFont="1" applyBorder="1" applyProtection="1">
      <protection locked="0"/>
    </xf>
    <xf numFmtId="10" fontId="0" fillId="0" borderId="13" xfId="0" applyNumberFormat="1" applyBorder="1" applyProtection="1"/>
    <xf numFmtId="0" fontId="0" fillId="0" borderId="0" xfId="0" applyAlignment="1" applyProtection="1">
      <alignment horizontal="right"/>
      <protection locked="0"/>
    </xf>
    <xf numFmtId="0" fontId="3" fillId="0" borderId="0" xfId="0" applyFont="1" applyProtection="1">
      <protection locked="0"/>
    </xf>
    <xf numFmtId="0" fontId="0" fillId="0" borderId="0" xfId="0" applyProtection="1">
      <protection locked="0" hidden="1"/>
    </xf>
    <xf numFmtId="0" fontId="1" fillId="0" borderId="0" xfId="0" applyFont="1" applyProtection="1">
      <protection locked="0"/>
    </xf>
    <xf numFmtId="0" fontId="3" fillId="0" borderId="13" xfId="0" applyFont="1" applyBorder="1" applyProtection="1">
      <protection locked="0"/>
    </xf>
    <xf numFmtId="0" fontId="10" fillId="0" borderId="13" xfId="0" applyFont="1" applyBorder="1" applyAlignment="1" applyProtection="1">
      <alignment horizontal="center" vertical="center" wrapText="1"/>
      <protection locked="0"/>
    </xf>
    <xf numFmtId="0" fontId="10" fillId="0" borderId="15" xfId="0" applyFont="1" applyBorder="1" applyAlignment="1" applyProtection="1">
      <alignment horizontal="center" wrapText="1"/>
      <protection locked="0"/>
    </xf>
    <xf numFmtId="0" fontId="3" fillId="0" borderId="10" xfId="0" applyFont="1" applyBorder="1" applyAlignment="1" applyProtection="1">
      <alignment horizontal="center"/>
    </xf>
    <xf numFmtId="0" fontId="3" fillId="0" borderId="11" xfId="0" applyFont="1" applyBorder="1" applyAlignment="1" applyProtection="1">
      <alignment horizontal="center"/>
    </xf>
    <xf numFmtId="0" fontId="3" fillId="0" borderId="12" xfId="0" applyFont="1" applyBorder="1" applyAlignment="1" applyProtection="1">
      <alignment horizontal="center"/>
    </xf>
    <xf numFmtId="0" fontId="3" fillId="0" borderId="8" xfId="0" applyFont="1" applyBorder="1" applyAlignment="1" applyProtection="1">
      <alignment horizontal="center"/>
    </xf>
    <xf numFmtId="0" fontId="3" fillId="0" borderId="9" xfId="0" applyFont="1" applyBorder="1" applyAlignment="1" applyProtection="1">
      <alignment horizontal="center"/>
    </xf>
    <xf numFmtId="0" fontId="3" fillId="0" borderId="15" xfId="0" applyFont="1" applyBorder="1" applyAlignment="1" applyProtection="1">
      <alignment horizontal="center"/>
    </xf>
    <xf numFmtId="0" fontId="3" fillId="0" borderId="16" xfId="0" applyFont="1" applyBorder="1" applyAlignment="1" applyProtection="1">
      <alignment horizontal="center"/>
    </xf>
    <xf numFmtId="0" fontId="3" fillId="0" borderId="14" xfId="0" applyFont="1" applyBorder="1" applyAlignment="1" applyProtection="1">
      <alignment horizontal="center"/>
    </xf>
    <xf numFmtId="0" fontId="11" fillId="0" borderId="15" xfId="0" applyFont="1" applyBorder="1" applyAlignment="1" applyProtection="1">
      <alignment horizontal="center" wrapText="1"/>
    </xf>
    <xf numFmtId="0" fontId="11" fillId="0" borderId="16" xfId="0" applyFont="1" applyBorder="1" applyAlignment="1" applyProtection="1">
      <alignment horizontal="center" wrapText="1"/>
    </xf>
    <xf numFmtId="0" fontId="11" fillId="0" borderId="14" xfId="0" applyFont="1" applyBorder="1" applyAlignment="1" applyProtection="1">
      <alignment horizontal="center" wrapText="1"/>
    </xf>
    <xf numFmtId="0" fontId="1" fillId="0" borderId="15" xfId="0" applyFont="1" applyBorder="1" applyAlignment="1" applyProtection="1">
      <alignment horizontal="center"/>
    </xf>
    <xf numFmtId="0" fontId="1" fillId="0" borderId="16" xfId="0" applyFont="1" applyBorder="1" applyAlignment="1" applyProtection="1">
      <alignment horizontal="center"/>
    </xf>
    <xf numFmtId="0" fontId="1" fillId="0" borderId="14" xfId="0" applyFont="1" applyBorder="1" applyAlignment="1" applyProtection="1">
      <alignment horizontal="center"/>
    </xf>
    <xf numFmtId="0" fontId="1" fillId="0" borderId="15" xfId="0" applyFont="1" applyBorder="1" applyAlignment="1" applyProtection="1">
      <alignment horizontal="center" wrapText="1"/>
    </xf>
    <xf numFmtId="0" fontId="1" fillId="0" borderId="16" xfId="0" applyFont="1" applyBorder="1" applyAlignment="1" applyProtection="1">
      <alignment horizontal="center" wrapText="1"/>
    </xf>
    <xf numFmtId="0" fontId="1" fillId="0" borderId="14" xfId="0" applyFont="1" applyBorder="1" applyAlignment="1" applyProtection="1">
      <alignment horizontal="center" wrapText="1"/>
    </xf>
    <xf numFmtId="0" fontId="3" fillId="0" borderId="0" xfId="0" applyFont="1" applyFill="1" applyBorder="1" applyAlignment="1" applyProtection="1">
      <alignment vertical="center"/>
    </xf>
    <xf numFmtId="0" fontId="1" fillId="0" borderId="0" xfId="0" applyFont="1" applyAlignment="1" applyProtection="1">
      <alignment horizontal="right" vertical="center"/>
    </xf>
    <xf numFmtId="0" fontId="1" fillId="0" borderId="7" xfId="0" applyFont="1" applyBorder="1" applyAlignment="1" applyProtection="1">
      <alignment horizontal="right" vertical="center"/>
    </xf>
    <xf numFmtId="0" fontId="3" fillId="2" borderId="3"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5" xfId="0" applyFont="1" applyFill="1" applyBorder="1" applyAlignment="1" applyProtection="1">
      <alignment vertical="center"/>
    </xf>
    <xf numFmtId="0" fontId="1" fillId="6" borderId="6" xfId="0" applyFont="1" applyFill="1" applyBorder="1" applyAlignment="1" applyProtection="1">
      <alignment horizontal="center" vertical="center" wrapText="1"/>
    </xf>
    <xf numFmtId="0" fontId="0" fillId="6" borderId="2" xfId="0" applyFill="1" applyBorder="1" applyAlignment="1" applyProtection="1">
      <alignment horizontal="center" vertical="center" wrapText="1"/>
    </xf>
    <xf numFmtId="0" fontId="0" fillId="0" borderId="0" xfId="0" applyAlignment="1" applyProtection="1">
      <alignment horizontal="right" vertical="center"/>
    </xf>
    <xf numFmtId="0" fontId="2" fillId="6" borderId="2" xfId="0" applyFont="1"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2" xfId="0" applyFill="1" applyBorder="1" applyAlignment="1" applyProtection="1">
      <alignment horizontal="center" vertical="center" wrapText="1"/>
    </xf>
  </cellXfs>
  <cellStyles count="6">
    <cellStyle name="Comma" xfId="1" builtinId="3"/>
    <cellStyle name="Comma 2" xfId="2"/>
    <cellStyle name="Normal" xfId="0" builtinId="0"/>
    <cellStyle name="Normal 2" xfId="3"/>
    <cellStyle name="Percent 2" xfId="4"/>
    <cellStyle name="Percent 3" xfId="5"/>
  </cellStyles>
  <dxfs count="7">
    <dxf>
      <font>
        <b/>
        <i val="0"/>
      </font>
      <fill>
        <patternFill patternType="none">
          <bgColor auto="1"/>
        </patternFill>
      </fill>
    </dxf>
    <dxf>
      <fill>
        <patternFill>
          <bgColor theme="6" tint="0.39994506668294322"/>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1"/>
  <sheetViews>
    <sheetView showRowColHeaders="0" tabSelected="1" topLeftCell="B1" zoomScaleNormal="100" workbookViewId="0">
      <selection activeCell="B1" sqref="B1:F1"/>
    </sheetView>
  </sheetViews>
  <sheetFormatPr defaultColWidth="0" defaultRowHeight="13.6" zeroHeight="1" x14ac:dyDescent="0.25"/>
  <cols>
    <col min="1" max="1" width="1.875" style="76" hidden="1" customWidth="1"/>
    <col min="2" max="2" width="39.25" style="47" customWidth="1"/>
    <col min="3" max="3" width="24.875" style="47" customWidth="1"/>
    <col min="4" max="4" width="14.5" style="47" bestFit="1" customWidth="1"/>
    <col min="5" max="5" width="15" style="47" bestFit="1" customWidth="1"/>
    <col min="6" max="6" width="23.5" style="47" customWidth="1"/>
    <col min="7" max="7" width="118.5" style="58" customWidth="1"/>
    <col min="8" max="8" width="18.125" style="82" hidden="1" customWidth="1"/>
    <col min="9" max="9" width="24.5" style="83" hidden="1" customWidth="1"/>
    <col min="10" max="10" width="14.5" style="76" hidden="1" customWidth="1"/>
    <col min="11" max="11" width="15" style="76" hidden="1" customWidth="1"/>
    <col min="12" max="12" width="17.25" style="76" hidden="1" customWidth="1"/>
    <col min="13" max="20" width="9.125" style="76" hidden="1" customWidth="1"/>
    <col min="21" max="22" width="25.5" style="76" hidden="1" customWidth="1"/>
    <col min="23" max="23" width="18.5" style="76" hidden="1" customWidth="1"/>
    <col min="24" max="24" width="21" style="76" hidden="1" customWidth="1"/>
    <col min="25" max="25" width="9.125" style="76" hidden="1" customWidth="1"/>
    <col min="26" max="27" width="25.5" style="76" hidden="1" customWidth="1"/>
    <col min="28" max="28" width="18.5" style="76" hidden="1" customWidth="1"/>
    <col min="29" max="29" width="21" style="76" hidden="1" customWidth="1"/>
    <col min="30" max="47" width="9.125" style="76" hidden="1" customWidth="1"/>
    <col min="48" max="16384" width="9.125" style="84" hidden="1"/>
  </cols>
  <sheetData>
    <row r="1" spans="1:31" x14ac:dyDescent="0.25">
      <c r="B1" s="94" t="s">
        <v>57</v>
      </c>
      <c r="C1" s="95"/>
      <c r="D1" s="95"/>
      <c r="E1" s="95"/>
      <c r="F1" s="96"/>
    </row>
    <row r="2" spans="1:31" x14ac:dyDescent="0.25">
      <c r="B2" s="100" t="s">
        <v>49</v>
      </c>
      <c r="C2" s="101"/>
      <c r="D2" s="101"/>
      <c r="E2" s="101"/>
      <c r="F2" s="102"/>
      <c r="S2" s="76">
        <v>1</v>
      </c>
      <c r="U2" s="83" t="s">
        <v>41</v>
      </c>
      <c r="Z2" s="83" t="s">
        <v>42</v>
      </c>
      <c r="AE2" s="85"/>
    </row>
    <row r="3" spans="1:31" ht="25.5" customHeight="1" x14ac:dyDescent="0.25">
      <c r="B3" s="103" t="s">
        <v>51</v>
      </c>
      <c r="C3" s="104"/>
      <c r="D3" s="104"/>
      <c r="E3" s="104"/>
      <c r="F3" s="105"/>
      <c r="S3" s="76">
        <v>2</v>
      </c>
      <c r="U3" s="85" t="s">
        <v>38</v>
      </c>
      <c r="V3" s="85" t="s">
        <v>39</v>
      </c>
      <c r="W3" s="85" t="s">
        <v>40</v>
      </c>
      <c r="X3" s="85" t="s">
        <v>27</v>
      </c>
      <c r="Z3" s="85" t="s">
        <v>38</v>
      </c>
      <c r="AA3" s="85" t="s">
        <v>39</v>
      </c>
      <c r="AB3" s="85" t="s">
        <v>40</v>
      </c>
      <c r="AC3" s="85" t="s">
        <v>27</v>
      </c>
    </row>
    <row r="4" spans="1:31" x14ac:dyDescent="0.25">
      <c r="B4" s="100" t="s">
        <v>50</v>
      </c>
      <c r="C4" s="101"/>
      <c r="D4" s="101"/>
      <c r="E4" s="101"/>
      <c r="F4" s="102"/>
      <c r="R4" s="85" t="s">
        <v>26</v>
      </c>
      <c r="S4" s="76">
        <v>3</v>
      </c>
      <c r="U4" s="76">
        <f>IF(AND(C12="Yes",C13=""),1,C13)</f>
        <v>0</v>
      </c>
      <c r="V4" s="76" t="str">
        <f>IF(C15="Yes",C16,"")</f>
        <v/>
      </c>
      <c r="W4" s="76" t="str">
        <f>IF(C18="Yes",C19,"")</f>
        <v/>
      </c>
      <c r="X4" s="76" t="str">
        <f>IF(C22="Yes",C23,"")</f>
        <v/>
      </c>
      <c r="Z4" s="76">
        <f>IF(C12="NO","",IF(COUNTIF($V$4:$X$9,S2)&gt;0,"PAYG Holiday Already Applied",S2))</f>
        <v>1</v>
      </c>
      <c r="AA4" s="76" t="e">
        <f>IF(C15="NO","",IF(COUNTIF($X$4:$X$9,S9)&gt;0,"PAYG Holiday Already Applied",U9+1))</f>
        <v>#VALUE!</v>
      </c>
      <c r="AB4" s="76" t="e">
        <f>IF(C18="NO","",IF(COUNTIF($X$4:$X$9,S15)&gt;0,"PAYG Holiday Already Applied",V9+1))</f>
        <v>#VALUE!</v>
      </c>
      <c r="AC4" s="76">
        <f>IF(C22="NO","",IF(COUNTIF($U$4:$W$9,S2)&gt;0,"PAYG Holiday Already Applied",S2))</f>
        <v>1</v>
      </c>
    </row>
    <row r="5" spans="1:31" ht="80.349999999999994" customHeight="1" x14ac:dyDescent="0.25">
      <c r="B5" s="97" t="s">
        <v>58</v>
      </c>
      <c r="C5" s="98"/>
      <c r="D5" s="98"/>
      <c r="E5" s="98"/>
      <c r="F5" s="99"/>
      <c r="R5" s="85" t="s">
        <v>28</v>
      </c>
      <c r="S5" s="76">
        <v>4</v>
      </c>
      <c r="U5" s="76" t="str">
        <f>IF($C$12="Yes",U4+1,"")</f>
        <v/>
      </c>
      <c r="V5" s="76" t="str">
        <f>IF($C$15="Yes",V4+1,"")</f>
        <v/>
      </c>
      <c r="W5" s="76" t="str">
        <f>IF($C$18="Yes",W4+1,"")</f>
        <v/>
      </c>
      <c r="X5" s="76" t="str">
        <f>IF($C$22="Yes",X4+1,"")</f>
        <v/>
      </c>
      <c r="Z5" s="76">
        <f>IF($C$12="NO","",IF(COUNTIF($V$4:$X$9,S3)&gt;0,"PAYG Holiday Already Applied",S3))</f>
        <v>2</v>
      </c>
      <c r="AA5" s="76" t="e">
        <f>IF(COUNTIF($X$4:$X$9,S10)&gt;0,"PAYG Holiday Already Applied",IF(AA4&lt;102,AA4+1,""))</f>
        <v>#VALUE!</v>
      </c>
      <c r="AB5" s="76" t="e">
        <f>IF(COUNTIF($X$4:$X$9,S16)&gt;0,"PAYG Holiday Already Applied",IF(AB4&lt;102,AB4+1,""))</f>
        <v>#VALUE!</v>
      </c>
      <c r="AC5" s="76">
        <f>IF($C$22="NO","",IF(COUNTIF($U$4:$W$9,S3)&gt;0,"PAYG Holiday Already Applied",S3))</f>
        <v>2</v>
      </c>
    </row>
    <row r="6" spans="1:31" x14ac:dyDescent="0.25">
      <c r="B6" s="58"/>
      <c r="C6" s="58"/>
      <c r="D6" s="58"/>
      <c r="E6" s="58"/>
      <c r="F6" s="58"/>
      <c r="S6" s="76">
        <v>5</v>
      </c>
      <c r="U6" s="76" t="str">
        <f t="shared" ref="U6:U9" si="0">IF($C$12="Yes",U5+1,"")</f>
        <v/>
      </c>
      <c r="V6" s="76" t="str">
        <f t="shared" ref="V6:V9" si="1">IF($C$15="Yes",V5+1,"")</f>
        <v/>
      </c>
      <c r="W6" s="76" t="str">
        <f t="shared" ref="W6:W9" si="2">IF($C$18="Yes",W5+1,"")</f>
        <v/>
      </c>
      <c r="X6" s="76" t="str">
        <f t="shared" ref="X6:X9" si="3">IF($C$22="Yes",X5+1,"")</f>
        <v/>
      </c>
      <c r="Z6" s="76">
        <f t="shared" ref="Z6:Z69" si="4">IF($C$12="NO","",IF(COUNTIF($V$4:$X$9,S4)&gt;0,"PAYG Holiday Already Applied",S4))</f>
        <v>3</v>
      </c>
      <c r="AA6" s="76" t="e">
        <f t="shared" ref="AA6:AA69" si="5">IF(COUNTIF($X$4:$X$9,S11)&gt;0,"PAYG Holiday Already Applied",IF(AA5&lt;102,AA5+1,""))</f>
        <v>#VALUE!</v>
      </c>
      <c r="AB6" s="76" t="e">
        <f t="shared" ref="AB6:AB69" si="6">IF(COUNTIF($X$4:$X$9,S17)&gt;0,"PAYG Holiday Already Applied",IF(AB5&lt;102,AB5+1,""))</f>
        <v>#VALUE!</v>
      </c>
      <c r="AC6" s="76">
        <f t="shared" ref="AC6:AC69" si="7">IF($C$22="NO","",IF(COUNTIF($U$4:$W$9,S4)&gt;0,"PAYG Holiday Already Applied",S4))</f>
        <v>3</v>
      </c>
    </row>
    <row r="7" spans="1:31" x14ac:dyDescent="0.25">
      <c r="B7" s="58"/>
      <c r="C7" s="86" t="s">
        <v>48</v>
      </c>
      <c r="D7" s="59" t="s">
        <v>44</v>
      </c>
      <c r="E7" s="58"/>
      <c r="F7" s="58"/>
      <c r="S7" s="76">
        <v>6</v>
      </c>
      <c r="U7" s="76" t="str">
        <f t="shared" si="0"/>
        <v/>
      </c>
      <c r="V7" s="76" t="str">
        <f t="shared" si="1"/>
        <v/>
      </c>
      <c r="W7" s="76" t="str">
        <f t="shared" si="2"/>
        <v/>
      </c>
      <c r="X7" s="76" t="str">
        <f t="shared" si="3"/>
        <v/>
      </c>
      <c r="Z7" s="76">
        <f t="shared" si="4"/>
        <v>4</v>
      </c>
      <c r="AA7" s="76" t="e">
        <f t="shared" si="5"/>
        <v>#VALUE!</v>
      </c>
      <c r="AB7" s="76" t="e">
        <f t="shared" si="6"/>
        <v>#VALUE!</v>
      </c>
      <c r="AC7" s="76">
        <f t="shared" si="7"/>
        <v>4</v>
      </c>
    </row>
    <row r="8" spans="1:31" x14ac:dyDescent="0.25">
      <c r="B8" s="58" t="s">
        <v>25</v>
      </c>
      <c r="C8" s="78"/>
      <c r="D8" s="58" t="s">
        <v>46</v>
      </c>
      <c r="E8" s="58"/>
      <c r="F8" s="58"/>
      <c r="S8" s="76">
        <v>7</v>
      </c>
      <c r="U8" s="76" t="str">
        <f t="shared" si="0"/>
        <v/>
      </c>
      <c r="V8" s="76" t="str">
        <f t="shared" si="1"/>
        <v/>
      </c>
      <c r="W8" s="76" t="str">
        <f t="shared" si="2"/>
        <v/>
      </c>
      <c r="X8" s="76" t="str">
        <f t="shared" si="3"/>
        <v/>
      </c>
      <c r="Z8" s="76">
        <f t="shared" si="4"/>
        <v>5</v>
      </c>
      <c r="AA8" s="76" t="e">
        <f t="shared" si="5"/>
        <v>#VALUE!</v>
      </c>
      <c r="AB8" s="76" t="e">
        <f t="shared" si="6"/>
        <v>#VALUE!</v>
      </c>
      <c r="AC8" s="76">
        <f t="shared" si="7"/>
        <v>5</v>
      </c>
    </row>
    <row r="9" spans="1:31" x14ac:dyDescent="0.25">
      <c r="B9" s="58" t="s">
        <v>23</v>
      </c>
      <c r="C9" s="81">
        <v>2.5000000000000001E-2</v>
      </c>
      <c r="D9" s="58"/>
      <c r="E9" s="58"/>
      <c r="F9" s="58"/>
      <c r="S9" s="76">
        <v>8</v>
      </c>
      <c r="U9" s="76" t="str">
        <f t="shared" si="0"/>
        <v/>
      </c>
      <c r="V9" s="76" t="str">
        <f t="shared" si="1"/>
        <v/>
      </c>
      <c r="W9" s="76" t="str">
        <f t="shared" si="2"/>
        <v/>
      </c>
      <c r="X9" s="76" t="str">
        <f t="shared" si="3"/>
        <v/>
      </c>
      <c r="Z9" s="76">
        <f t="shared" si="4"/>
        <v>6</v>
      </c>
      <c r="AA9" s="76" t="e">
        <f t="shared" si="5"/>
        <v>#VALUE!</v>
      </c>
      <c r="AB9" s="76" t="e">
        <f t="shared" si="6"/>
        <v>#VALUE!</v>
      </c>
      <c r="AC9" s="76">
        <f t="shared" si="7"/>
        <v>6</v>
      </c>
    </row>
    <row r="10" spans="1:31" x14ac:dyDescent="0.25">
      <c r="B10" s="58" t="s">
        <v>24</v>
      </c>
      <c r="C10" s="58">
        <v>60</v>
      </c>
      <c r="D10" s="58"/>
      <c r="E10" s="58"/>
      <c r="F10" s="58"/>
      <c r="S10" s="76">
        <v>9</v>
      </c>
      <c r="Z10" s="76">
        <f t="shared" si="4"/>
        <v>7</v>
      </c>
      <c r="AA10" s="76" t="e">
        <f t="shared" si="5"/>
        <v>#VALUE!</v>
      </c>
      <c r="AB10" s="76" t="e">
        <f t="shared" si="6"/>
        <v>#VALUE!</v>
      </c>
      <c r="AC10" s="76">
        <f t="shared" si="7"/>
        <v>7</v>
      </c>
    </row>
    <row r="11" spans="1:31" x14ac:dyDescent="0.25">
      <c r="B11" s="58"/>
      <c r="C11" s="77"/>
      <c r="D11" s="58"/>
      <c r="E11" s="58"/>
      <c r="F11" s="58"/>
      <c r="S11" s="76">
        <v>10</v>
      </c>
      <c r="Z11" s="76">
        <f t="shared" si="4"/>
        <v>8</v>
      </c>
      <c r="AA11" s="76" t="e">
        <f t="shared" si="5"/>
        <v>#VALUE!</v>
      </c>
      <c r="AB11" s="76" t="e">
        <f t="shared" si="6"/>
        <v>#VALUE!</v>
      </c>
      <c r="AC11" s="76">
        <f t="shared" si="7"/>
        <v>8</v>
      </c>
    </row>
    <row r="12" spans="1:31" x14ac:dyDescent="0.25">
      <c r="A12" s="76">
        <f>IF(C14="Yes",6,0)</f>
        <v>0</v>
      </c>
      <c r="B12" s="59" t="s">
        <v>52</v>
      </c>
      <c r="C12" s="79"/>
      <c r="D12" s="60" t="s">
        <v>53</v>
      </c>
      <c r="E12" s="58"/>
      <c r="F12" s="58"/>
      <c r="S12" s="76">
        <v>11</v>
      </c>
      <c r="Z12" s="76">
        <f t="shared" si="4"/>
        <v>9</v>
      </c>
      <c r="AA12" s="76" t="e">
        <f t="shared" si="5"/>
        <v>#VALUE!</v>
      </c>
      <c r="AB12" s="76" t="e">
        <f t="shared" si="6"/>
        <v>#VALUE!</v>
      </c>
      <c r="AC12" s="76">
        <f t="shared" si="7"/>
        <v>9</v>
      </c>
    </row>
    <row r="13" spans="1:31" x14ac:dyDescent="0.25">
      <c r="A13" s="76">
        <f>IF(C15="Yes",6,0)</f>
        <v>0</v>
      </c>
      <c r="B13" s="60" t="str">
        <f>IF(C12="Yes","From Repayment Period","")</f>
        <v/>
      </c>
      <c r="C13" s="77"/>
      <c r="D13" s="58" t="str">
        <f>IF(AND(C12="Yes",C13=""),"PLEASE INPUT REPAYMENT PERIOD WHICH THE INTEREST ONLY PERIOD STARTS FROM","")</f>
        <v/>
      </c>
      <c r="E13" s="58"/>
      <c r="F13" s="58"/>
      <c r="S13" s="76">
        <v>12</v>
      </c>
      <c r="Z13" s="76">
        <f t="shared" si="4"/>
        <v>10</v>
      </c>
      <c r="AA13" s="76" t="e">
        <f t="shared" si="5"/>
        <v>#VALUE!</v>
      </c>
      <c r="AB13" s="76" t="e">
        <f t="shared" si="6"/>
        <v>#VALUE!</v>
      </c>
      <c r="AC13" s="76">
        <f t="shared" si="7"/>
        <v>10</v>
      </c>
    </row>
    <row r="14" spans="1:31" x14ac:dyDescent="0.25">
      <c r="B14" s="60" t="str">
        <f>IF(C12="Yes","Extend Term by 6 months?","")</f>
        <v/>
      </c>
      <c r="C14" s="77"/>
      <c r="D14" s="58" t="str">
        <f>IF(AND(C12="Yes",C14=""),"PLEASE SELECT WHETHER THE TERM OF THE LOAN WILL EXTEND BY THE LENGTH OF THE INTEREST ONLY PERIOD. THE MAXIMUM ALLOWABLE TERM IS 10 YEARS IF OPTION 2 IS TAKEN","")</f>
        <v/>
      </c>
      <c r="E14" s="58"/>
      <c r="F14" s="58"/>
      <c r="S14" s="76">
        <v>13</v>
      </c>
      <c r="Z14" s="76">
        <f t="shared" si="4"/>
        <v>11</v>
      </c>
      <c r="AA14" s="76" t="e">
        <f t="shared" si="5"/>
        <v>#VALUE!</v>
      </c>
      <c r="AB14" s="76" t="e">
        <f t="shared" si="6"/>
        <v>#VALUE!</v>
      </c>
      <c r="AC14" s="76">
        <f t="shared" si="7"/>
        <v>11</v>
      </c>
    </row>
    <row r="15" spans="1:31" x14ac:dyDescent="0.25">
      <c r="A15" s="76">
        <f>IF(C17="Yes",6,0)</f>
        <v>0</v>
      </c>
      <c r="B15" s="60" t="str">
        <f>IF(C12="Yes","2nd Interest Only Period?","")</f>
        <v/>
      </c>
      <c r="C15" s="80"/>
      <c r="D15" s="60" t="str">
        <f>IF(C12="Yes","Select whether you'd like to take a second 6 month interest only period. Please note that you can only apply for one interest only period or repayment holiday at once","")</f>
        <v/>
      </c>
      <c r="E15" s="58"/>
      <c r="F15" s="58"/>
      <c r="S15" s="76">
        <v>14</v>
      </c>
      <c r="Z15" s="76">
        <f t="shared" si="4"/>
        <v>12</v>
      </c>
      <c r="AA15" s="76" t="e">
        <f t="shared" si="5"/>
        <v>#VALUE!</v>
      </c>
      <c r="AB15" s="76" t="e">
        <f t="shared" si="6"/>
        <v>#VALUE!</v>
      </c>
      <c r="AC15" s="76">
        <f t="shared" si="7"/>
        <v>12</v>
      </c>
    </row>
    <row r="16" spans="1:31" x14ac:dyDescent="0.25">
      <c r="A16" s="76">
        <f>IF(C18="Yes",6,0)</f>
        <v>0</v>
      </c>
      <c r="B16" s="60" t="str">
        <f>IF(C15="Yes","From Repayment Period","")</f>
        <v/>
      </c>
      <c r="C16" s="77"/>
      <c r="D16" s="58" t="str">
        <f>IF(AND(C15="Yes",C16=""),"PLEASE INPUT REPAYMENT PERIOD WHICH THE SECOND 6 MONTH INTEREST ONLY PERIOD STARTS FROM, MAKING SURE THAT THIS DOESN'T OVERLAP WITH ANY OTHER INTEREST ONLY PERIODS OR PAYMENT HOLIDAYS","")</f>
        <v/>
      </c>
      <c r="E16" s="58"/>
      <c r="F16" s="58"/>
      <c r="S16" s="76">
        <v>15</v>
      </c>
      <c r="Z16" s="76">
        <f t="shared" si="4"/>
        <v>13</v>
      </c>
      <c r="AA16" s="76" t="e">
        <f t="shared" si="5"/>
        <v>#VALUE!</v>
      </c>
      <c r="AB16" s="76" t="e">
        <f t="shared" si="6"/>
        <v>#VALUE!</v>
      </c>
      <c r="AC16" s="76">
        <f t="shared" si="7"/>
        <v>13</v>
      </c>
    </row>
    <row r="17" spans="1:29" x14ac:dyDescent="0.25">
      <c r="B17" s="60" t="str">
        <f>IF(C15="Yes","Extend Term by 6 months?","")</f>
        <v/>
      </c>
      <c r="C17" s="77"/>
      <c r="D17" s="58" t="str">
        <f>IF(AND(C15="Yes",C17=""),"PLEASE SELECT WHETHER THE TERM OF THE LOAN WILL EXTEND BY THE LENGTH OF THE INTEREST ONLY PERIOD. THE MAXIMUM ALLOWABLE TERM IS 10 YEARS IF OPTION 2 IS TAKEN","")</f>
        <v/>
      </c>
      <c r="E17" s="58"/>
      <c r="F17" s="58"/>
      <c r="S17" s="76">
        <v>16</v>
      </c>
      <c r="Z17" s="76">
        <f t="shared" si="4"/>
        <v>14</v>
      </c>
      <c r="AA17" s="76" t="e">
        <f t="shared" si="5"/>
        <v>#VALUE!</v>
      </c>
      <c r="AB17" s="76" t="e">
        <f t="shared" si="6"/>
        <v>#VALUE!</v>
      </c>
      <c r="AC17" s="76">
        <f t="shared" si="7"/>
        <v>14</v>
      </c>
    </row>
    <row r="18" spans="1:29" x14ac:dyDescent="0.25">
      <c r="A18" s="76">
        <f>IF(C20="Yes",6,0)</f>
        <v>0</v>
      </c>
      <c r="B18" s="60" t="str">
        <f>IF(C15="Yes","3rd Interest Only Period?","")</f>
        <v/>
      </c>
      <c r="C18" s="80"/>
      <c r="D18" s="60" t="str">
        <f>IF(C15="Yes","Select whether you'd like to take a second 6 month interest only period. Please note that you can only apply for one interest only period or repayment holiday at once","")</f>
        <v/>
      </c>
      <c r="E18" s="58"/>
      <c r="F18" s="58"/>
      <c r="S18" s="76">
        <v>17</v>
      </c>
      <c r="Z18" s="76">
        <f t="shared" si="4"/>
        <v>15</v>
      </c>
      <c r="AA18" s="76" t="e">
        <f t="shared" si="5"/>
        <v>#VALUE!</v>
      </c>
      <c r="AB18" s="76" t="e">
        <f t="shared" si="6"/>
        <v>#VALUE!</v>
      </c>
      <c r="AC18" s="76">
        <f t="shared" si="7"/>
        <v>15</v>
      </c>
    </row>
    <row r="19" spans="1:29" x14ac:dyDescent="0.25">
      <c r="B19" s="60" t="str">
        <f>IF(C18="Yes","From Repayment Period","")</f>
        <v/>
      </c>
      <c r="C19" s="77"/>
      <c r="D19" s="58" t="str">
        <f>IF(AND(C18="Yes",C19=""),"PLEASE INPUT REPAYMENT PERIOD WHICH THE THIRD 6 MONTH INTEREST ONLY PERIOD STARTS FROM, MAKING SURE THAT THIS DOESN'T OVERLAP WITH ANY OTHER INTEREST ONLY PERIODS OR PAYMENT HOLIDAYS","")</f>
        <v/>
      </c>
      <c r="E19" s="58"/>
      <c r="F19" s="58"/>
      <c r="S19" s="76">
        <v>18</v>
      </c>
      <c r="Z19" s="76">
        <f t="shared" si="4"/>
        <v>16</v>
      </c>
      <c r="AA19" s="76" t="e">
        <f t="shared" si="5"/>
        <v>#VALUE!</v>
      </c>
      <c r="AB19" s="76" t="e">
        <f t="shared" si="6"/>
        <v>#VALUE!</v>
      </c>
      <c r="AC19" s="76">
        <f t="shared" si="7"/>
        <v>16</v>
      </c>
    </row>
    <row r="20" spans="1:29" x14ac:dyDescent="0.25">
      <c r="A20" s="76">
        <f>IF(C22="Yes",6,0)</f>
        <v>0</v>
      </c>
      <c r="B20" s="60" t="str">
        <f>IF(C18="Yes","Extend Term by 6 months?","")</f>
        <v/>
      </c>
      <c r="C20" s="77"/>
      <c r="D20" s="58" t="str">
        <f>IF(AND(C18="Yes",C20=""),"PLEASE SELECT WHETHER THE TERM OF THE LOAN WILL EXTEND BY THE LENGTH OF THE INTEREST ONLY PERIOD. THE MAXIMUM ALLOWABLE TERM IS 10 YEARS IF OPTION 2 IS TAKEN","")</f>
        <v/>
      </c>
      <c r="E20" s="58"/>
      <c r="F20" s="58"/>
      <c r="S20" s="76">
        <v>19</v>
      </c>
      <c r="Z20" s="76">
        <f t="shared" si="4"/>
        <v>17</v>
      </c>
      <c r="AA20" s="76" t="e">
        <f t="shared" si="5"/>
        <v>#VALUE!</v>
      </c>
      <c r="AB20" s="76" t="e">
        <f t="shared" si="6"/>
        <v>#VALUE!</v>
      </c>
      <c r="AC20" s="76">
        <f t="shared" si="7"/>
        <v>17</v>
      </c>
    </row>
    <row r="21" spans="1:29" x14ac:dyDescent="0.25">
      <c r="B21" s="58"/>
      <c r="C21" s="77"/>
      <c r="D21" s="58"/>
      <c r="E21" s="58"/>
      <c r="F21" s="58"/>
      <c r="S21" s="76">
        <v>20</v>
      </c>
      <c r="Z21" s="76">
        <f t="shared" si="4"/>
        <v>18</v>
      </c>
      <c r="AA21" s="76" t="e">
        <f t="shared" si="5"/>
        <v>#VALUE!</v>
      </c>
      <c r="AB21" s="76" t="e">
        <f t="shared" si="6"/>
        <v>#VALUE!</v>
      </c>
      <c r="AC21" s="76">
        <f t="shared" si="7"/>
        <v>18</v>
      </c>
    </row>
    <row r="22" spans="1:29" x14ac:dyDescent="0.25">
      <c r="A22" s="76">
        <f>IF(C24="Yes",6,0)</f>
        <v>0</v>
      </c>
      <c r="B22" s="59" t="s">
        <v>54</v>
      </c>
      <c r="C22" s="79"/>
      <c r="D22" s="60" t="s">
        <v>56</v>
      </c>
      <c r="E22" s="58"/>
      <c r="F22" s="58"/>
      <c r="S22" s="76">
        <v>21</v>
      </c>
      <c r="Z22" s="76">
        <f t="shared" si="4"/>
        <v>19</v>
      </c>
      <c r="AA22" s="76" t="e">
        <f t="shared" si="5"/>
        <v>#VALUE!</v>
      </c>
      <c r="AB22" s="76" t="e">
        <f t="shared" si="6"/>
        <v>#VALUE!</v>
      </c>
      <c r="AC22" s="76">
        <f t="shared" si="7"/>
        <v>19</v>
      </c>
    </row>
    <row r="23" spans="1:29" x14ac:dyDescent="0.25">
      <c r="B23" s="60" t="str">
        <f>IF(C22="Yes","From Repayment Period","")</f>
        <v/>
      </c>
      <c r="C23" s="77"/>
      <c r="D23" s="58" t="str">
        <f>IF(AND(C22="Yes",C23=""),"PLEASE INPUT REPAYMENT PERIOD WHICH THIS REPAYMENT HOLIDAY STARTS FROM, MAKING SURE THAT THIS DOESN'T OVERLAP WITH ANY OTHER INTEREST ONLY PERIODS OR PAYMENT HOLIDAYS","")</f>
        <v/>
      </c>
      <c r="E23" s="58"/>
      <c r="F23" s="58"/>
      <c r="S23" s="76">
        <v>22</v>
      </c>
      <c r="Z23" s="76">
        <f t="shared" si="4"/>
        <v>20</v>
      </c>
      <c r="AA23" s="76" t="e">
        <f t="shared" si="5"/>
        <v>#VALUE!</v>
      </c>
      <c r="AB23" s="76" t="e">
        <f t="shared" si="6"/>
        <v>#VALUE!</v>
      </c>
      <c r="AC23" s="76">
        <f t="shared" si="7"/>
        <v>20</v>
      </c>
    </row>
    <row r="24" spans="1:29" x14ac:dyDescent="0.25">
      <c r="B24" s="60" t="str">
        <f>IF(C22="Yes","Extend Term by 6 months?","")</f>
        <v/>
      </c>
      <c r="C24" s="80"/>
      <c r="D24" s="58" t="str">
        <f>IF(AND(C22="Yes",C24=""),"PLEASE SELECT WHETHER THE TERM OF THE LOAN WILL EXTEND BY THE LENGTH OF THE PAYMENT HOLIDAY. THE MAXIMUM ALLOWABLE TERM IS 10 YEARS IF OPTION 2 IS TAKEN","")</f>
        <v/>
      </c>
      <c r="E24" s="58"/>
      <c r="F24" s="58"/>
      <c r="S24" s="76">
        <v>23</v>
      </c>
      <c r="Z24" s="76">
        <f t="shared" si="4"/>
        <v>21</v>
      </c>
      <c r="AA24" s="76" t="e">
        <f t="shared" si="5"/>
        <v>#VALUE!</v>
      </c>
      <c r="AB24" s="76" t="e">
        <f t="shared" si="6"/>
        <v>#VALUE!</v>
      </c>
      <c r="AC24" s="76">
        <f t="shared" si="7"/>
        <v>21</v>
      </c>
    </row>
    <row r="25" spans="1:29" x14ac:dyDescent="0.25">
      <c r="B25" s="59"/>
      <c r="C25" s="77"/>
      <c r="D25" s="58"/>
      <c r="E25" s="58"/>
      <c r="F25" s="58"/>
      <c r="S25" s="76">
        <v>24</v>
      </c>
      <c r="Z25" s="76">
        <f t="shared" si="4"/>
        <v>22</v>
      </c>
      <c r="AA25" s="76" t="e">
        <f t="shared" si="5"/>
        <v>#VALUE!</v>
      </c>
      <c r="AB25" s="76" t="e">
        <f t="shared" si="6"/>
        <v>#VALUE!</v>
      </c>
      <c r="AC25" s="76">
        <f t="shared" si="7"/>
        <v>22</v>
      </c>
    </row>
    <row r="26" spans="1:29" x14ac:dyDescent="0.25">
      <c r="B26" s="59" t="s">
        <v>55</v>
      </c>
      <c r="C26" s="79"/>
      <c r="D26" s="60" t="s">
        <v>59</v>
      </c>
      <c r="E26" s="58"/>
      <c r="F26" s="58"/>
      <c r="S26" s="76">
        <v>25</v>
      </c>
      <c r="Z26" s="76">
        <f t="shared" si="4"/>
        <v>23</v>
      </c>
      <c r="AA26" s="76" t="e">
        <f t="shared" si="5"/>
        <v>#VALUE!</v>
      </c>
      <c r="AB26" s="76" t="e">
        <f t="shared" si="6"/>
        <v>#VALUE!</v>
      </c>
      <c r="AC26" s="76">
        <f t="shared" si="7"/>
        <v>23</v>
      </c>
    </row>
    <row r="27" spans="1:29" x14ac:dyDescent="0.25">
      <c r="B27" s="58"/>
      <c r="C27" s="77"/>
      <c r="D27" s="60" t="s">
        <v>60</v>
      </c>
      <c r="E27" s="58"/>
      <c r="F27" s="58"/>
      <c r="S27" s="76">
        <v>26</v>
      </c>
      <c r="Z27" s="76">
        <f t="shared" si="4"/>
        <v>24</v>
      </c>
      <c r="AA27" s="76" t="e">
        <f t="shared" si="5"/>
        <v>#VALUE!</v>
      </c>
      <c r="AB27" s="76" t="e">
        <f t="shared" si="6"/>
        <v>#VALUE!</v>
      </c>
      <c r="AC27" s="76">
        <f t="shared" si="7"/>
        <v>24</v>
      </c>
    </row>
    <row r="28" spans="1:29" ht="12.75" customHeight="1" x14ac:dyDescent="0.25">
      <c r="B28" s="61" t="str">
        <f>IF(OR(AND(C12="No",C13&gt;0),AND(C15="No",C16&gt;0),AND(C18="No",C19&gt;0),AND(C22="No",C23&gt;0)),"PLEASE CLEAR REPAYMENT HOLIDAY START DATES WHERE REPAYMENT HOLIDAYS HAS BEEN CHANGED FROM 'YES' TO 'NO' TO ENSURE AN ACCURATE REPAYMENT PROFILE IS CALCULATED","")</f>
        <v/>
      </c>
      <c r="C28" s="87"/>
      <c r="D28" s="62"/>
      <c r="E28" s="62"/>
      <c r="F28" s="62"/>
      <c r="S28" s="76">
        <v>27</v>
      </c>
      <c r="Z28" s="76">
        <f t="shared" si="4"/>
        <v>25</v>
      </c>
      <c r="AA28" s="76" t="e">
        <f t="shared" si="5"/>
        <v>#VALUE!</v>
      </c>
      <c r="AB28" s="76" t="e">
        <f t="shared" si="6"/>
        <v>#VALUE!</v>
      </c>
      <c r="AC28" s="76">
        <f t="shared" si="7"/>
        <v>25</v>
      </c>
    </row>
    <row r="29" spans="1:29" x14ac:dyDescent="0.25">
      <c r="B29" s="63"/>
      <c r="C29" s="88"/>
      <c r="D29" s="63"/>
      <c r="E29" s="63"/>
      <c r="F29" s="63"/>
      <c r="S29" s="76">
        <v>28</v>
      </c>
      <c r="Z29" s="76">
        <f t="shared" si="4"/>
        <v>26</v>
      </c>
      <c r="AA29" s="76" t="e">
        <f t="shared" si="5"/>
        <v>#VALUE!</v>
      </c>
      <c r="AB29" s="76" t="e">
        <f t="shared" si="6"/>
        <v>#VALUE!</v>
      </c>
      <c r="AC29" s="76">
        <f t="shared" si="7"/>
        <v>26</v>
      </c>
    </row>
    <row r="30" spans="1:29" ht="14.3" thickBot="1" x14ac:dyDescent="0.3">
      <c r="B30" s="92" t="s">
        <v>36</v>
      </c>
      <c r="C30" s="93"/>
      <c r="D30" s="64"/>
      <c r="E30" s="64"/>
      <c r="F30" s="64"/>
      <c r="S30" s="76">
        <v>29</v>
      </c>
      <c r="Z30" s="76">
        <f t="shared" si="4"/>
        <v>27</v>
      </c>
      <c r="AA30" s="76" t="e">
        <f t="shared" si="5"/>
        <v>#VALUE!</v>
      </c>
      <c r="AB30" s="76" t="e">
        <f t="shared" si="6"/>
        <v>#VALUE!</v>
      </c>
      <c r="AC30" s="76">
        <f t="shared" si="7"/>
        <v>27</v>
      </c>
    </row>
    <row r="31" spans="1:29" x14ac:dyDescent="0.25">
      <c r="B31" s="66" t="s">
        <v>45</v>
      </c>
      <c r="C31" s="67">
        <f>IF(C26="Yes",108,(C10+A12+A15+A18+A22))</f>
        <v>60</v>
      </c>
      <c r="D31" s="65" t="str">
        <f>IF(C26="Yes","Extending your term to 10 years means you repay over 9 years, taking into account the initial 12 month repayment holiday for all Bounce Back Loans","")</f>
        <v/>
      </c>
      <c r="E31" s="58"/>
      <c r="F31" s="58"/>
      <c r="S31" s="76">
        <v>30</v>
      </c>
      <c r="Z31" s="76">
        <f t="shared" si="4"/>
        <v>28</v>
      </c>
      <c r="AA31" s="76" t="e">
        <f t="shared" si="5"/>
        <v>#VALUE!</v>
      </c>
      <c r="AB31" s="76" t="e">
        <f t="shared" si="6"/>
        <v>#VALUE!</v>
      </c>
      <c r="AC31" s="76">
        <f t="shared" si="7"/>
        <v>28</v>
      </c>
    </row>
    <row r="32" spans="1:29" x14ac:dyDescent="0.25">
      <c r="B32" s="68" t="s">
        <v>34</v>
      </c>
      <c r="C32" s="69">
        <f>SUM(C39:C146)</f>
        <v>0</v>
      </c>
      <c r="D32" s="65"/>
      <c r="E32" s="58"/>
      <c r="F32" s="58"/>
      <c r="S32" s="76">
        <v>31</v>
      </c>
      <c r="Z32" s="76">
        <f t="shared" si="4"/>
        <v>29</v>
      </c>
      <c r="AA32" s="76" t="e">
        <f t="shared" si="5"/>
        <v>#VALUE!</v>
      </c>
      <c r="AB32" s="76" t="e">
        <f t="shared" si="6"/>
        <v>#VALUE!</v>
      </c>
      <c r="AC32" s="76">
        <f t="shared" si="7"/>
        <v>29</v>
      </c>
    </row>
    <row r="33" spans="2:29" x14ac:dyDescent="0.25">
      <c r="B33" s="68" t="s">
        <v>43</v>
      </c>
      <c r="C33" s="69">
        <f>C32-C34</f>
        <v>0</v>
      </c>
      <c r="D33" s="65"/>
      <c r="E33" s="58"/>
      <c r="F33" s="58"/>
      <c r="S33" s="76">
        <v>32</v>
      </c>
      <c r="Z33" s="76">
        <f t="shared" si="4"/>
        <v>30</v>
      </c>
      <c r="AA33" s="76" t="e">
        <f t="shared" si="5"/>
        <v>#VALUE!</v>
      </c>
      <c r="AB33" s="76" t="e">
        <f t="shared" si="6"/>
        <v>#VALUE!</v>
      </c>
      <c r="AC33" s="76">
        <f t="shared" si="7"/>
        <v>30</v>
      </c>
    </row>
    <row r="34" spans="2:29" ht="14.3" thickBot="1" x14ac:dyDescent="0.3">
      <c r="B34" s="70" t="s">
        <v>35</v>
      </c>
      <c r="C34" s="71">
        <f>C8</f>
        <v>0</v>
      </c>
      <c r="D34" s="65"/>
      <c r="E34" s="58"/>
      <c r="F34" s="58"/>
      <c r="S34" s="76">
        <v>33</v>
      </c>
      <c r="Z34" s="76">
        <f t="shared" si="4"/>
        <v>31</v>
      </c>
      <c r="AA34" s="76" t="e">
        <f t="shared" si="5"/>
        <v>#VALUE!</v>
      </c>
      <c r="AB34" s="76" t="e">
        <f t="shared" si="6"/>
        <v>#VALUE!</v>
      </c>
      <c r="AC34" s="76">
        <f t="shared" si="7"/>
        <v>31</v>
      </c>
    </row>
    <row r="35" spans="2:29" ht="14.3" thickBot="1" x14ac:dyDescent="0.3">
      <c r="B35" s="72"/>
      <c r="C35" s="57"/>
      <c r="D35" s="73"/>
      <c r="E35" s="73"/>
      <c r="F35" s="73"/>
      <c r="S35" s="76">
        <v>34</v>
      </c>
      <c r="Z35" s="76">
        <f t="shared" si="4"/>
        <v>32</v>
      </c>
      <c r="AA35" s="76" t="e">
        <f t="shared" si="5"/>
        <v>#VALUE!</v>
      </c>
      <c r="AB35" s="76" t="e">
        <f t="shared" si="6"/>
        <v>#VALUE!</v>
      </c>
      <c r="AC35" s="76">
        <f t="shared" si="7"/>
        <v>32</v>
      </c>
    </row>
    <row r="36" spans="2:29" ht="14.3" thickBot="1" x14ac:dyDescent="0.3">
      <c r="B36" s="89" t="s">
        <v>47</v>
      </c>
      <c r="C36" s="90"/>
      <c r="D36" s="90"/>
      <c r="E36" s="90"/>
      <c r="F36" s="91"/>
      <c r="G36" s="65"/>
      <c r="S36" s="76">
        <v>35</v>
      </c>
      <c r="Z36" s="76">
        <f t="shared" si="4"/>
        <v>33</v>
      </c>
      <c r="AA36" s="76" t="e">
        <f t="shared" si="5"/>
        <v>#VALUE!</v>
      </c>
      <c r="AB36" s="76" t="e">
        <f t="shared" si="6"/>
        <v>#VALUE!</v>
      </c>
      <c r="AC36" s="76">
        <f t="shared" si="7"/>
        <v>33</v>
      </c>
    </row>
    <row r="37" spans="2:29" ht="14.3" thickBot="1" x14ac:dyDescent="0.3">
      <c r="B37" s="49" t="s">
        <v>37</v>
      </c>
      <c r="C37" s="50" t="s">
        <v>29</v>
      </c>
      <c r="D37" s="51" t="s">
        <v>30</v>
      </c>
      <c r="E37" s="51" t="s">
        <v>31</v>
      </c>
      <c r="F37" s="52" t="s">
        <v>32</v>
      </c>
      <c r="G37" s="65"/>
      <c r="S37" s="76">
        <v>36</v>
      </c>
      <c r="Z37" s="76">
        <f t="shared" si="4"/>
        <v>34</v>
      </c>
      <c r="AA37" s="76" t="e">
        <f t="shared" si="5"/>
        <v>#VALUE!</v>
      </c>
      <c r="AB37" s="76" t="e">
        <f t="shared" si="6"/>
        <v>#VALUE!</v>
      </c>
      <c r="AC37" s="76">
        <f t="shared" si="7"/>
        <v>34</v>
      </c>
    </row>
    <row r="38" spans="2:29" x14ac:dyDescent="0.25">
      <c r="B38" s="53" t="s">
        <v>33</v>
      </c>
      <c r="C38" s="48"/>
      <c r="F38" s="54">
        <f>'Loan Repayment Input Sheet'!J20</f>
        <v>0</v>
      </c>
      <c r="S38" s="76">
        <v>37</v>
      </c>
      <c r="Z38" s="76">
        <f t="shared" si="4"/>
        <v>35</v>
      </c>
      <c r="AA38" s="76" t="e">
        <f t="shared" si="5"/>
        <v>#VALUE!</v>
      </c>
      <c r="AB38" s="76" t="e">
        <f t="shared" si="6"/>
        <v>#VALUE!</v>
      </c>
      <c r="AC38" s="76">
        <f t="shared" si="7"/>
        <v>35</v>
      </c>
    </row>
    <row r="39" spans="2:29" x14ac:dyDescent="0.25">
      <c r="B39" s="53" t="str">
        <f>IF(C39="","",S2)</f>
        <v/>
      </c>
      <c r="C39" s="55" t="str">
        <f>IF(F38=0,"",'Loan Repayment Input Sheet'!I21)</f>
        <v/>
      </c>
      <c r="D39" s="56">
        <f>'Loan Repayment Input Sheet'!H21</f>
        <v>0</v>
      </c>
      <c r="E39" s="56">
        <f>'Loan Repayment Input Sheet'!G21</f>
        <v>0</v>
      </c>
      <c r="F39" s="56">
        <f>'Loan Repayment Input Sheet'!J21</f>
        <v>0</v>
      </c>
      <c r="S39" s="76">
        <v>38</v>
      </c>
      <c r="Z39" s="76">
        <f t="shared" si="4"/>
        <v>36</v>
      </c>
      <c r="AA39" s="76" t="e">
        <f t="shared" si="5"/>
        <v>#VALUE!</v>
      </c>
      <c r="AB39" s="76" t="e">
        <f t="shared" si="6"/>
        <v>#VALUE!</v>
      </c>
      <c r="AC39" s="76">
        <f t="shared" si="7"/>
        <v>36</v>
      </c>
    </row>
    <row r="40" spans="2:29" x14ac:dyDescent="0.25">
      <c r="B40" s="53" t="str">
        <f>IF(C40="","",S3)</f>
        <v/>
      </c>
      <c r="C40" s="55" t="str">
        <f>IF(F39=0,"",'Loan Repayment Input Sheet'!I22)</f>
        <v/>
      </c>
      <c r="D40" s="56">
        <f>'Loan Repayment Input Sheet'!H22</f>
        <v>0</v>
      </c>
      <c r="E40" s="56">
        <f>'Loan Repayment Input Sheet'!G22</f>
        <v>0</v>
      </c>
      <c r="F40" s="56">
        <f>'Loan Repayment Input Sheet'!J22</f>
        <v>0</v>
      </c>
      <c r="S40" s="76">
        <v>39</v>
      </c>
      <c r="Z40" s="76">
        <f t="shared" si="4"/>
        <v>37</v>
      </c>
      <c r="AA40" s="76" t="e">
        <f t="shared" si="5"/>
        <v>#VALUE!</v>
      </c>
      <c r="AB40" s="76" t="e">
        <f t="shared" si="6"/>
        <v>#VALUE!</v>
      </c>
      <c r="AC40" s="76">
        <f t="shared" si="7"/>
        <v>37</v>
      </c>
    </row>
    <row r="41" spans="2:29" x14ac:dyDescent="0.25">
      <c r="B41" s="53" t="str">
        <f t="shared" ref="B41:B104" si="8">IF(C41="","",S4)</f>
        <v/>
      </c>
      <c r="C41" s="55" t="str">
        <f>IF(F40=0,"",'Loan Repayment Input Sheet'!I23)</f>
        <v/>
      </c>
      <c r="D41" s="56">
        <f>'Loan Repayment Input Sheet'!H23</f>
        <v>0</v>
      </c>
      <c r="E41" s="56">
        <f>'Loan Repayment Input Sheet'!G23</f>
        <v>0</v>
      </c>
      <c r="F41" s="56">
        <f>'Loan Repayment Input Sheet'!J23</f>
        <v>0</v>
      </c>
      <c r="S41" s="76">
        <v>40</v>
      </c>
      <c r="Z41" s="76">
        <f t="shared" si="4"/>
        <v>38</v>
      </c>
      <c r="AA41" s="76" t="e">
        <f t="shared" si="5"/>
        <v>#VALUE!</v>
      </c>
      <c r="AB41" s="76" t="e">
        <f t="shared" si="6"/>
        <v>#VALUE!</v>
      </c>
      <c r="AC41" s="76">
        <f t="shared" si="7"/>
        <v>38</v>
      </c>
    </row>
    <row r="42" spans="2:29" x14ac:dyDescent="0.25">
      <c r="B42" s="53" t="str">
        <f t="shared" si="8"/>
        <v/>
      </c>
      <c r="C42" s="55" t="str">
        <f>IF(F41=0,"",'Loan Repayment Input Sheet'!I24)</f>
        <v/>
      </c>
      <c r="D42" s="56">
        <f>'Loan Repayment Input Sheet'!H24</f>
        <v>0</v>
      </c>
      <c r="E42" s="56">
        <f>'Loan Repayment Input Sheet'!G24</f>
        <v>0</v>
      </c>
      <c r="F42" s="56">
        <f>'Loan Repayment Input Sheet'!J24</f>
        <v>0</v>
      </c>
      <c r="S42" s="76">
        <v>41</v>
      </c>
      <c r="Z42" s="76">
        <f t="shared" si="4"/>
        <v>39</v>
      </c>
      <c r="AA42" s="76" t="e">
        <f t="shared" si="5"/>
        <v>#VALUE!</v>
      </c>
      <c r="AB42" s="76" t="e">
        <f t="shared" si="6"/>
        <v>#VALUE!</v>
      </c>
      <c r="AC42" s="76">
        <f t="shared" si="7"/>
        <v>39</v>
      </c>
    </row>
    <row r="43" spans="2:29" x14ac:dyDescent="0.25">
      <c r="B43" s="53" t="str">
        <f t="shared" si="8"/>
        <v/>
      </c>
      <c r="C43" s="55" t="str">
        <f>IF(F42=0,"",'Loan Repayment Input Sheet'!I25)</f>
        <v/>
      </c>
      <c r="D43" s="56">
        <f>'Loan Repayment Input Sheet'!H25</f>
        <v>0</v>
      </c>
      <c r="E43" s="56">
        <f>'Loan Repayment Input Sheet'!G25</f>
        <v>0</v>
      </c>
      <c r="F43" s="56">
        <f>'Loan Repayment Input Sheet'!J25</f>
        <v>0</v>
      </c>
      <c r="S43" s="76">
        <v>42</v>
      </c>
      <c r="Z43" s="76">
        <f t="shared" si="4"/>
        <v>40</v>
      </c>
      <c r="AA43" s="76" t="e">
        <f t="shared" si="5"/>
        <v>#VALUE!</v>
      </c>
      <c r="AB43" s="76" t="e">
        <f t="shared" si="6"/>
        <v>#VALUE!</v>
      </c>
      <c r="AC43" s="76">
        <f t="shared" si="7"/>
        <v>40</v>
      </c>
    </row>
    <row r="44" spans="2:29" x14ac:dyDescent="0.25">
      <c r="B44" s="53" t="str">
        <f t="shared" si="8"/>
        <v/>
      </c>
      <c r="C44" s="55" t="str">
        <f>IF(F43=0,"",'Loan Repayment Input Sheet'!I26)</f>
        <v/>
      </c>
      <c r="D44" s="56">
        <f>'Loan Repayment Input Sheet'!H26</f>
        <v>0</v>
      </c>
      <c r="E44" s="56">
        <f>'Loan Repayment Input Sheet'!G26</f>
        <v>0</v>
      </c>
      <c r="F44" s="56">
        <f>'Loan Repayment Input Sheet'!J26</f>
        <v>0</v>
      </c>
      <c r="S44" s="76">
        <v>43</v>
      </c>
      <c r="Z44" s="76">
        <f t="shared" si="4"/>
        <v>41</v>
      </c>
      <c r="AA44" s="76" t="e">
        <f t="shared" si="5"/>
        <v>#VALUE!</v>
      </c>
      <c r="AB44" s="76" t="e">
        <f t="shared" si="6"/>
        <v>#VALUE!</v>
      </c>
      <c r="AC44" s="76">
        <f t="shared" si="7"/>
        <v>41</v>
      </c>
    </row>
    <row r="45" spans="2:29" x14ac:dyDescent="0.25">
      <c r="B45" s="53" t="str">
        <f t="shared" si="8"/>
        <v/>
      </c>
      <c r="C45" s="55" t="str">
        <f>IF(F44=0,"",'Loan Repayment Input Sheet'!I27)</f>
        <v/>
      </c>
      <c r="D45" s="56">
        <f>'Loan Repayment Input Sheet'!H27</f>
        <v>0</v>
      </c>
      <c r="E45" s="56">
        <f>'Loan Repayment Input Sheet'!G27</f>
        <v>0</v>
      </c>
      <c r="F45" s="56">
        <f>'Loan Repayment Input Sheet'!J27</f>
        <v>0</v>
      </c>
      <c r="S45" s="76">
        <v>44</v>
      </c>
      <c r="Z45" s="76">
        <f t="shared" si="4"/>
        <v>42</v>
      </c>
      <c r="AA45" s="76" t="e">
        <f t="shared" si="5"/>
        <v>#VALUE!</v>
      </c>
      <c r="AB45" s="76" t="e">
        <f t="shared" si="6"/>
        <v>#VALUE!</v>
      </c>
      <c r="AC45" s="76">
        <f t="shared" si="7"/>
        <v>42</v>
      </c>
    </row>
    <row r="46" spans="2:29" x14ac:dyDescent="0.25">
      <c r="B46" s="53" t="str">
        <f t="shared" si="8"/>
        <v/>
      </c>
      <c r="C46" s="55" t="str">
        <f>IF(F45=0,"",'Loan Repayment Input Sheet'!I28)</f>
        <v/>
      </c>
      <c r="D46" s="56">
        <f>'Loan Repayment Input Sheet'!H28</f>
        <v>0</v>
      </c>
      <c r="E46" s="56">
        <f>'Loan Repayment Input Sheet'!G28</f>
        <v>0</v>
      </c>
      <c r="F46" s="56">
        <f>'Loan Repayment Input Sheet'!J28</f>
        <v>0</v>
      </c>
      <c r="S46" s="76">
        <v>45</v>
      </c>
      <c r="Z46" s="76">
        <f t="shared" si="4"/>
        <v>43</v>
      </c>
      <c r="AA46" s="76" t="e">
        <f t="shared" si="5"/>
        <v>#VALUE!</v>
      </c>
      <c r="AB46" s="76" t="e">
        <f t="shared" si="6"/>
        <v>#VALUE!</v>
      </c>
      <c r="AC46" s="76">
        <f t="shared" si="7"/>
        <v>43</v>
      </c>
    </row>
    <row r="47" spans="2:29" x14ac:dyDescent="0.25">
      <c r="B47" s="53" t="str">
        <f t="shared" si="8"/>
        <v/>
      </c>
      <c r="C47" s="55" t="str">
        <f>IF(F46=0,"",'Loan Repayment Input Sheet'!I29)</f>
        <v/>
      </c>
      <c r="D47" s="56">
        <f>'Loan Repayment Input Sheet'!H29</f>
        <v>0</v>
      </c>
      <c r="E47" s="56">
        <f>'Loan Repayment Input Sheet'!G29</f>
        <v>0</v>
      </c>
      <c r="F47" s="56">
        <f>'Loan Repayment Input Sheet'!J29</f>
        <v>0</v>
      </c>
      <c r="S47" s="76">
        <v>46</v>
      </c>
      <c r="Z47" s="76">
        <f t="shared" si="4"/>
        <v>44</v>
      </c>
      <c r="AA47" s="76" t="e">
        <f t="shared" si="5"/>
        <v>#VALUE!</v>
      </c>
      <c r="AB47" s="76" t="e">
        <f t="shared" si="6"/>
        <v>#VALUE!</v>
      </c>
      <c r="AC47" s="76">
        <f t="shared" si="7"/>
        <v>44</v>
      </c>
    </row>
    <row r="48" spans="2:29" x14ac:dyDescent="0.25">
      <c r="B48" s="53" t="str">
        <f t="shared" si="8"/>
        <v/>
      </c>
      <c r="C48" s="55" t="str">
        <f>IF(F47=0,"",'Loan Repayment Input Sheet'!I30)</f>
        <v/>
      </c>
      <c r="D48" s="56">
        <f>'Loan Repayment Input Sheet'!H30</f>
        <v>0</v>
      </c>
      <c r="E48" s="56">
        <f>'Loan Repayment Input Sheet'!G30</f>
        <v>0</v>
      </c>
      <c r="F48" s="56">
        <f>'Loan Repayment Input Sheet'!J30</f>
        <v>0</v>
      </c>
      <c r="S48" s="76">
        <v>47</v>
      </c>
      <c r="Z48" s="76">
        <f t="shared" si="4"/>
        <v>45</v>
      </c>
      <c r="AA48" s="76" t="e">
        <f t="shared" si="5"/>
        <v>#VALUE!</v>
      </c>
      <c r="AB48" s="76" t="e">
        <f t="shared" si="6"/>
        <v>#VALUE!</v>
      </c>
      <c r="AC48" s="76">
        <f t="shared" si="7"/>
        <v>45</v>
      </c>
    </row>
    <row r="49" spans="2:29" x14ac:dyDescent="0.25">
      <c r="B49" s="53" t="str">
        <f t="shared" si="8"/>
        <v/>
      </c>
      <c r="C49" s="55" t="str">
        <f>IF(F48=0,"",'Loan Repayment Input Sheet'!I31)</f>
        <v/>
      </c>
      <c r="D49" s="56">
        <f>'Loan Repayment Input Sheet'!H31</f>
        <v>0</v>
      </c>
      <c r="E49" s="56">
        <f>'Loan Repayment Input Sheet'!G31</f>
        <v>0</v>
      </c>
      <c r="F49" s="56">
        <f>'Loan Repayment Input Sheet'!J31</f>
        <v>0</v>
      </c>
      <c r="S49" s="76">
        <v>48</v>
      </c>
      <c r="Z49" s="76">
        <f t="shared" si="4"/>
        <v>46</v>
      </c>
      <c r="AA49" s="76" t="e">
        <f t="shared" si="5"/>
        <v>#VALUE!</v>
      </c>
      <c r="AB49" s="76" t="e">
        <f t="shared" si="6"/>
        <v>#VALUE!</v>
      </c>
      <c r="AC49" s="76">
        <f t="shared" si="7"/>
        <v>46</v>
      </c>
    </row>
    <row r="50" spans="2:29" x14ac:dyDescent="0.25">
      <c r="B50" s="53" t="str">
        <f t="shared" si="8"/>
        <v/>
      </c>
      <c r="C50" s="55" t="str">
        <f>IF(F49=0,"",'Loan Repayment Input Sheet'!I32)</f>
        <v/>
      </c>
      <c r="D50" s="56">
        <f>'Loan Repayment Input Sheet'!H32</f>
        <v>0</v>
      </c>
      <c r="E50" s="56">
        <f>'Loan Repayment Input Sheet'!G32</f>
        <v>0</v>
      </c>
      <c r="F50" s="56">
        <f>'Loan Repayment Input Sheet'!J32</f>
        <v>0</v>
      </c>
      <c r="S50" s="76">
        <v>49</v>
      </c>
      <c r="Z50" s="76">
        <f t="shared" si="4"/>
        <v>47</v>
      </c>
      <c r="AA50" s="76" t="e">
        <f t="shared" si="5"/>
        <v>#VALUE!</v>
      </c>
      <c r="AB50" s="76" t="e">
        <f t="shared" si="6"/>
        <v>#VALUE!</v>
      </c>
      <c r="AC50" s="76">
        <f t="shared" si="7"/>
        <v>47</v>
      </c>
    </row>
    <row r="51" spans="2:29" x14ac:dyDescent="0.25">
      <c r="B51" s="53" t="str">
        <f t="shared" si="8"/>
        <v/>
      </c>
      <c r="C51" s="55" t="str">
        <f>IF(F50=0,"",'Loan Repayment Input Sheet'!I33)</f>
        <v/>
      </c>
      <c r="D51" s="56">
        <f>'Loan Repayment Input Sheet'!H33</f>
        <v>0</v>
      </c>
      <c r="E51" s="56">
        <f>'Loan Repayment Input Sheet'!G33</f>
        <v>0</v>
      </c>
      <c r="F51" s="56">
        <f>'Loan Repayment Input Sheet'!J33</f>
        <v>0</v>
      </c>
      <c r="S51" s="76">
        <v>50</v>
      </c>
      <c r="Z51" s="76">
        <f t="shared" si="4"/>
        <v>48</v>
      </c>
      <c r="AA51" s="76" t="e">
        <f t="shared" si="5"/>
        <v>#VALUE!</v>
      </c>
      <c r="AB51" s="76" t="e">
        <f t="shared" si="6"/>
        <v>#VALUE!</v>
      </c>
      <c r="AC51" s="76">
        <f t="shared" si="7"/>
        <v>48</v>
      </c>
    </row>
    <row r="52" spans="2:29" x14ac:dyDescent="0.25">
      <c r="B52" s="53" t="str">
        <f t="shared" si="8"/>
        <v/>
      </c>
      <c r="C52" s="55" t="str">
        <f>IF(F51=0,"",'Loan Repayment Input Sheet'!I34)</f>
        <v/>
      </c>
      <c r="D52" s="56">
        <f>'Loan Repayment Input Sheet'!H34</f>
        <v>0</v>
      </c>
      <c r="E52" s="56">
        <f>'Loan Repayment Input Sheet'!G34</f>
        <v>0</v>
      </c>
      <c r="F52" s="56">
        <f>'Loan Repayment Input Sheet'!J34</f>
        <v>0</v>
      </c>
      <c r="S52" s="76">
        <v>51</v>
      </c>
      <c r="Z52" s="76">
        <f t="shared" si="4"/>
        <v>49</v>
      </c>
      <c r="AA52" s="76" t="e">
        <f t="shared" si="5"/>
        <v>#VALUE!</v>
      </c>
      <c r="AB52" s="76" t="e">
        <f t="shared" si="6"/>
        <v>#VALUE!</v>
      </c>
      <c r="AC52" s="76">
        <f t="shared" si="7"/>
        <v>49</v>
      </c>
    </row>
    <row r="53" spans="2:29" x14ac:dyDescent="0.25">
      <c r="B53" s="53" t="str">
        <f t="shared" si="8"/>
        <v/>
      </c>
      <c r="C53" s="55" t="str">
        <f>IF(F52=0,"",'Loan Repayment Input Sheet'!I35)</f>
        <v/>
      </c>
      <c r="D53" s="56">
        <f>'Loan Repayment Input Sheet'!H35</f>
        <v>0</v>
      </c>
      <c r="E53" s="56">
        <f>'Loan Repayment Input Sheet'!G35</f>
        <v>0</v>
      </c>
      <c r="F53" s="56">
        <f>'Loan Repayment Input Sheet'!J35</f>
        <v>0</v>
      </c>
      <c r="S53" s="76">
        <v>52</v>
      </c>
      <c r="Z53" s="76">
        <f t="shared" si="4"/>
        <v>50</v>
      </c>
      <c r="AA53" s="76" t="e">
        <f t="shared" si="5"/>
        <v>#VALUE!</v>
      </c>
      <c r="AB53" s="76" t="e">
        <f t="shared" si="6"/>
        <v>#VALUE!</v>
      </c>
      <c r="AC53" s="76">
        <f t="shared" si="7"/>
        <v>50</v>
      </c>
    </row>
    <row r="54" spans="2:29" x14ac:dyDescent="0.25">
      <c r="B54" s="53" t="str">
        <f t="shared" si="8"/>
        <v/>
      </c>
      <c r="C54" s="55" t="str">
        <f>IF(F53=0,"",'Loan Repayment Input Sheet'!I36)</f>
        <v/>
      </c>
      <c r="D54" s="56">
        <f>'Loan Repayment Input Sheet'!H36</f>
        <v>0</v>
      </c>
      <c r="E54" s="56">
        <f>'Loan Repayment Input Sheet'!G36</f>
        <v>0</v>
      </c>
      <c r="F54" s="56">
        <f>'Loan Repayment Input Sheet'!J36</f>
        <v>0</v>
      </c>
      <c r="S54" s="76">
        <v>53</v>
      </c>
      <c r="Z54" s="76">
        <f t="shared" si="4"/>
        <v>51</v>
      </c>
      <c r="AA54" s="76" t="e">
        <f t="shared" si="5"/>
        <v>#VALUE!</v>
      </c>
      <c r="AB54" s="76" t="e">
        <f t="shared" si="6"/>
        <v>#VALUE!</v>
      </c>
      <c r="AC54" s="76">
        <f t="shared" si="7"/>
        <v>51</v>
      </c>
    </row>
    <row r="55" spans="2:29" x14ac:dyDescent="0.25">
      <c r="B55" s="53" t="str">
        <f t="shared" si="8"/>
        <v/>
      </c>
      <c r="C55" s="55" t="str">
        <f>IF(F54=0,"",'Loan Repayment Input Sheet'!I37)</f>
        <v/>
      </c>
      <c r="D55" s="56">
        <f>'Loan Repayment Input Sheet'!H37</f>
        <v>0</v>
      </c>
      <c r="E55" s="56">
        <f>'Loan Repayment Input Sheet'!G37</f>
        <v>0</v>
      </c>
      <c r="F55" s="56">
        <f>'Loan Repayment Input Sheet'!J37</f>
        <v>0</v>
      </c>
      <c r="S55" s="76">
        <v>54</v>
      </c>
      <c r="Z55" s="76">
        <f t="shared" si="4"/>
        <v>52</v>
      </c>
      <c r="AA55" s="76" t="e">
        <f t="shared" si="5"/>
        <v>#VALUE!</v>
      </c>
      <c r="AB55" s="76" t="e">
        <f t="shared" si="6"/>
        <v>#VALUE!</v>
      </c>
      <c r="AC55" s="76">
        <f t="shared" si="7"/>
        <v>52</v>
      </c>
    </row>
    <row r="56" spans="2:29" x14ac:dyDescent="0.25">
      <c r="B56" s="53" t="str">
        <f t="shared" si="8"/>
        <v/>
      </c>
      <c r="C56" s="55" t="str">
        <f>IF(F55=0,"",'Loan Repayment Input Sheet'!I38)</f>
        <v/>
      </c>
      <c r="D56" s="56">
        <f>'Loan Repayment Input Sheet'!H38</f>
        <v>0</v>
      </c>
      <c r="E56" s="56">
        <f>'Loan Repayment Input Sheet'!G38</f>
        <v>0</v>
      </c>
      <c r="F56" s="56">
        <f>'Loan Repayment Input Sheet'!J38</f>
        <v>0</v>
      </c>
      <c r="S56" s="76">
        <v>55</v>
      </c>
      <c r="Z56" s="76">
        <f t="shared" si="4"/>
        <v>53</v>
      </c>
      <c r="AA56" s="76" t="e">
        <f t="shared" si="5"/>
        <v>#VALUE!</v>
      </c>
      <c r="AB56" s="76" t="e">
        <f t="shared" si="6"/>
        <v>#VALUE!</v>
      </c>
      <c r="AC56" s="76">
        <f t="shared" si="7"/>
        <v>53</v>
      </c>
    </row>
    <row r="57" spans="2:29" x14ac:dyDescent="0.25">
      <c r="B57" s="53" t="str">
        <f t="shared" si="8"/>
        <v/>
      </c>
      <c r="C57" s="55" t="str">
        <f>IF(F56=0,"",'Loan Repayment Input Sheet'!I39)</f>
        <v/>
      </c>
      <c r="D57" s="56">
        <f>'Loan Repayment Input Sheet'!H39</f>
        <v>0</v>
      </c>
      <c r="E57" s="56">
        <f>'Loan Repayment Input Sheet'!G39</f>
        <v>0</v>
      </c>
      <c r="F57" s="56">
        <f>'Loan Repayment Input Sheet'!J39</f>
        <v>0</v>
      </c>
      <c r="S57" s="76">
        <v>56</v>
      </c>
      <c r="Z57" s="76">
        <f t="shared" si="4"/>
        <v>54</v>
      </c>
      <c r="AA57" s="76" t="e">
        <f t="shared" si="5"/>
        <v>#VALUE!</v>
      </c>
      <c r="AB57" s="76" t="e">
        <f t="shared" si="6"/>
        <v>#VALUE!</v>
      </c>
      <c r="AC57" s="76">
        <f t="shared" si="7"/>
        <v>54</v>
      </c>
    </row>
    <row r="58" spans="2:29" x14ac:dyDescent="0.25">
      <c r="B58" s="53" t="str">
        <f t="shared" si="8"/>
        <v/>
      </c>
      <c r="C58" s="55" t="str">
        <f>IF(F57=0,"",'Loan Repayment Input Sheet'!I40)</f>
        <v/>
      </c>
      <c r="D58" s="56">
        <f>'Loan Repayment Input Sheet'!H40</f>
        <v>0</v>
      </c>
      <c r="E58" s="56">
        <f>'Loan Repayment Input Sheet'!G40</f>
        <v>0</v>
      </c>
      <c r="F58" s="56">
        <f>'Loan Repayment Input Sheet'!J40</f>
        <v>0</v>
      </c>
      <c r="S58" s="76">
        <v>57</v>
      </c>
      <c r="Z58" s="76">
        <f t="shared" si="4"/>
        <v>55</v>
      </c>
      <c r="AA58" s="76" t="e">
        <f t="shared" si="5"/>
        <v>#VALUE!</v>
      </c>
      <c r="AB58" s="76" t="e">
        <f t="shared" si="6"/>
        <v>#VALUE!</v>
      </c>
      <c r="AC58" s="76">
        <f t="shared" si="7"/>
        <v>55</v>
      </c>
    </row>
    <row r="59" spans="2:29" x14ac:dyDescent="0.25">
      <c r="B59" s="53" t="str">
        <f t="shared" si="8"/>
        <v/>
      </c>
      <c r="C59" s="55" t="str">
        <f>IF(F58=0,"",'Loan Repayment Input Sheet'!I41)</f>
        <v/>
      </c>
      <c r="D59" s="56">
        <f>'Loan Repayment Input Sheet'!H41</f>
        <v>0</v>
      </c>
      <c r="E59" s="56">
        <f>'Loan Repayment Input Sheet'!G41</f>
        <v>0</v>
      </c>
      <c r="F59" s="56">
        <f>'Loan Repayment Input Sheet'!J41</f>
        <v>0</v>
      </c>
      <c r="S59" s="76">
        <v>58</v>
      </c>
      <c r="Z59" s="76">
        <f t="shared" si="4"/>
        <v>56</v>
      </c>
      <c r="AA59" s="76" t="e">
        <f t="shared" si="5"/>
        <v>#VALUE!</v>
      </c>
      <c r="AB59" s="76" t="e">
        <f t="shared" si="6"/>
        <v>#VALUE!</v>
      </c>
      <c r="AC59" s="76">
        <f t="shared" si="7"/>
        <v>56</v>
      </c>
    </row>
    <row r="60" spans="2:29" x14ac:dyDescent="0.25">
      <c r="B60" s="53" t="str">
        <f t="shared" si="8"/>
        <v/>
      </c>
      <c r="C60" s="55" t="str">
        <f>IF(F59=0,"",'Loan Repayment Input Sheet'!I42)</f>
        <v/>
      </c>
      <c r="D60" s="56">
        <f>'Loan Repayment Input Sheet'!H42</f>
        <v>0</v>
      </c>
      <c r="E60" s="56">
        <f>'Loan Repayment Input Sheet'!G42</f>
        <v>0</v>
      </c>
      <c r="F60" s="56">
        <f>'Loan Repayment Input Sheet'!J42</f>
        <v>0</v>
      </c>
      <c r="S60" s="76">
        <v>59</v>
      </c>
      <c r="Z60" s="76">
        <f t="shared" si="4"/>
        <v>57</v>
      </c>
      <c r="AA60" s="76" t="e">
        <f t="shared" si="5"/>
        <v>#VALUE!</v>
      </c>
      <c r="AB60" s="76" t="e">
        <f t="shared" si="6"/>
        <v>#VALUE!</v>
      </c>
      <c r="AC60" s="76">
        <f t="shared" si="7"/>
        <v>57</v>
      </c>
    </row>
    <row r="61" spans="2:29" x14ac:dyDescent="0.25">
      <c r="B61" s="53" t="str">
        <f t="shared" si="8"/>
        <v/>
      </c>
      <c r="C61" s="55" t="str">
        <f>IF(F60=0,"",'Loan Repayment Input Sheet'!I43)</f>
        <v/>
      </c>
      <c r="D61" s="56">
        <f>'Loan Repayment Input Sheet'!H43</f>
        <v>0</v>
      </c>
      <c r="E61" s="56">
        <f>'Loan Repayment Input Sheet'!G43</f>
        <v>0</v>
      </c>
      <c r="F61" s="56">
        <f>'Loan Repayment Input Sheet'!J43</f>
        <v>0</v>
      </c>
      <c r="S61" s="76">
        <v>60</v>
      </c>
      <c r="Z61" s="76">
        <f t="shared" si="4"/>
        <v>58</v>
      </c>
      <c r="AA61" s="76" t="e">
        <f t="shared" si="5"/>
        <v>#VALUE!</v>
      </c>
      <c r="AB61" s="76" t="e">
        <f t="shared" si="6"/>
        <v>#VALUE!</v>
      </c>
      <c r="AC61" s="76">
        <f t="shared" si="7"/>
        <v>58</v>
      </c>
    </row>
    <row r="62" spans="2:29" x14ac:dyDescent="0.25">
      <c r="B62" s="53" t="str">
        <f t="shared" si="8"/>
        <v/>
      </c>
      <c r="C62" s="55" t="str">
        <f>IF(F61=0,"",'Loan Repayment Input Sheet'!I44)</f>
        <v/>
      </c>
      <c r="D62" s="56">
        <f>'Loan Repayment Input Sheet'!H44</f>
        <v>0</v>
      </c>
      <c r="E62" s="56">
        <f>'Loan Repayment Input Sheet'!G44</f>
        <v>0</v>
      </c>
      <c r="F62" s="56">
        <f>'Loan Repayment Input Sheet'!J44</f>
        <v>0</v>
      </c>
      <c r="S62" s="76">
        <v>61</v>
      </c>
      <c r="Z62" s="76">
        <f t="shared" si="4"/>
        <v>59</v>
      </c>
      <c r="AA62" s="76" t="e">
        <f t="shared" si="5"/>
        <v>#VALUE!</v>
      </c>
      <c r="AB62" s="76" t="e">
        <f t="shared" si="6"/>
        <v>#VALUE!</v>
      </c>
      <c r="AC62" s="76">
        <f t="shared" si="7"/>
        <v>59</v>
      </c>
    </row>
    <row r="63" spans="2:29" x14ac:dyDescent="0.25">
      <c r="B63" s="53" t="str">
        <f t="shared" si="8"/>
        <v/>
      </c>
      <c r="C63" s="55" t="str">
        <f>IF(F62=0,"",'Loan Repayment Input Sheet'!I45)</f>
        <v/>
      </c>
      <c r="D63" s="56">
        <f>'Loan Repayment Input Sheet'!H45</f>
        <v>0</v>
      </c>
      <c r="E63" s="56">
        <f>'Loan Repayment Input Sheet'!G45</f>
        <v>0</v>
      </c>
      <c r="F63" s="56">
        <f>'Loan Repayment Input Sheet'!J45</f>
        <v>0</v>
      </c>
      <c r="S63" s="76">
        <v>62</v>
      </c>
      <c r="Z63" s="76">
        <f t="shared" si="4"/>
        <v>60</v>
      </c>
      <c r="AA63" s="76" t="e">
        <f t="shared" si="5"/>
        <v>#VALUE!</v>
      </c>
      <c r="AB63" s="76" t="e">
        <f t="shared" si="6"/>
        <v>#VALUE!</v>
      </c>
      <c r="AC63" s="76">
        <f t="shared" si="7"/>
        <v>60</v>
      </c>
    </row>
    <row r="64" spans="2:29" x14ac:dyDescent="0.25">
      <c r="B64" s="53" t="str">
        <f t="shared" si="8"/>
        <v/>
      </c>
      <c r="C64" s="55" t="str">
        <f>IF(F63=0,"",'Loan Repayment Input Sheet'!I46)</f>
        <v/>
      </c>
      <c r="D64" s="56">
        <f>'Loan Repayment Input Sheet'!H46</f>
        <v>0</v>
      </c>
      <c r="E64" s="56">
        <f>'Loan Repayment Input Sheet'!G46</f>
        <v>0</v>
      </c>
      <c r="F64" s="56">
        <f>'Loan Repayment Input Sheet'!J46</f>
        <v>0</v>
      </c>
      <c r="S64" s="76">
        <v>63</v>
      </c>
      <c r="Z64" s="76">
        <f t="shared" si="4"/>
        <v>61</v>
      </c>
      <c r="AA64" s="76" t="e">
        <f t="shared" si="5"/>
        <v>#VALUE!</v>
      </c>
      <c r="AB64" s="76" t="e">
        <f t="shared" si="6"/>
        <v>#VALUE!</v>
      </c>
      <c r="AC64" s="76">
        <f t="shared" si="7"/>
        <v>61</v>
      </c>
    </row>
    <row r="65" spans="2:29" x14ac:dyDescent="0.25">
      <c r="B65" s="53" t="str">
        <f t="shared" si="8"/>
        <v/>
      </c>
      <c r="C65" s="55" t="str">
        <f>IF(F64=0,"",'Loan Repayment Input Sheet'!I47)</f>
        <v/>
      </c>
      <c r="D65" s="56">
        <f>'Loan Repayment Input Sheet'!H47</f>
        <v>0</v>
      </c>
      <c r="E65" s="56">
        <f>'Loan Repayment Input Sheet'!G47</f>
        <v>0</v>
      </c>
      <c r="F65" s="56">
        <f>'Loan Repayment Input Sheet'!J47</f>
        <v>0</v>
      </c>
      <c r="S65" s="76">
        <v>64</v>
      </c>
      <c r="Z65" s="76">
        <f t="shared" si="4"/>
        <v>62</v>
      </c>
      <c r="AA65" s="76" t="e">
        <f t="shared" si="5"/>
        <v>#VALUE!</v>
      </c>
      <c r="AB65" s="76" t="e">
        <f t="shared" si="6"/>
        <v>#VALUE!</v>
      </c>
      <c r="AC65" s="76">
        <f t="shared" si="7"/>
        <v>62</v>
      </c>
    </row>
    <row r="66" spans="2:29" x14ac:dyDescent="0.25">
      <c r="B66" s="53" t="str">
        <f t="shared" si="8"/>
        <v/>
      </c>
      <c r="C66" s="55" t="str">
        <f>IF(F65=0,"",'Loan Repayment Input Sheet'!I48)</f>
        <v/>
      </c>
      <c r="D66" s="56">
        <f>'Loan Repayment Input Sheet'!H48</f>
        <v>0</v>
      </c>
      <c r="E66" s="56">
        <f>'Loan Repayment Input Sheet'!G48</f>
        <v>0</v>
      </c>
      <c r="F66" s="56">
        <f>'Loan Repayment Input Sheet'!J48</f>
        <v>0</v>
      </c>
      <c r="S66" s="76">
        <v>65</v>
      </c>
      <c r="Z66" s="76">
        <f t="shared" si="4"/>
        <v>63</v>
      </c>
      <c r="AA66" s="76" t="e">
        <f t="shared" si="5"/>
        <v>#VALUE!</v>
      </c>
      <c r="AB66" s="76" t="e">
        <f t="shared" si="6"/>
        <v>#VALUE!</v>
      </c>
      <c r="AC66" s="76">
        <f t="shared" si="7"/>
        <v>63</v>
      </c>
    </row>
    <row r="67" spans="2:29" x14ac:dyDescent="0.25">
      <c r="B67" s="53" t="str">
        <f t="shared" si="8"/>
        <v/>
      </c>
      <c r="C67" s="55" t="str">
        <f>IF(F66=0,"",'Loan Repayment Input Sheet'!I49)</f>
        <v/>
      </c>
      <c r="D67" s="56">
        <f>'Loan Repayment Input Sheet'!H49</f>
        <v>0</v>
      </c>
      <c r="E67" s="56">
        <f>'Loan Repayment Input Sheet'!G49</f>
        <v>0</v>
      </c>
      <c r="F67" s="56">
        <f>'Loan Repayment Input Sheet'!J49</f>
        <v>0</v>
      </c>
      <c r="S67" s="76">
        <v>66</v>
      </c>
      <c r="Z67" s="76">
        <f t="shared" si="4"/>
        <v>64</v>
      </c>
      <c r="AA67" s="76" t="e">
        <f t="shared" si="5"/>
        <v>#VALUE!</v>
      </c>
      <c r="AB67" s="76" t="e">
        <f t="shared" si="6"/>
        <v>#VALUE!</v>
      </c>
      <c r="AC67" s="76">
        <f t="shared" si="7"/>
        <v>64</v>
      </c>
    </row>
    <row r="68" spans="2:29" x14ac:dyDescent="0.25">
      <c r="B68" s="53" t="str">
        <f t="shared" si="8"/>
        <v/>
      </c>
      <c r="C68" s="55" t="str">
        <f>IF(F67=0,"",'Loan Repayment Input Sheet'!I50)</f>
        <v/>
      </c>
      <c r="D68" s="56">
        <f>'Loan Repayment Input Sheet'!H50</f>
        <v>0</v>
      </c>
      <c r="E68" s="56">
        <f>'Loan Repayment Input Sheet'!G50</f>
        <v>0</v>
      </c>
      <c r="F68" s="56">
        <f>'Loan Repayment Input Sheet'!J50</f>
        <v>0</v>
      </c>
      <c r="S68" s="76">
        <v>67</v>
      </c>
      <c r="Z68" s="76">
        <f t="shared" si="4"/>
        <v>65</v>
      </c>
      <c r="AA68" s="76" t="e">
        <f t="shared" si="5"/>
        <v>#VALUE!</v>
      </c>
      <c r="AB68" s="76" t="e">
        <f t="shared" si="6"/>
        <v>#VALUE!</v>
      </c>
      <c r="AC68" s="76">
        <f t="shared" si="7"/>
        <v>65</v>
      </c>
    </row>
    <row r="69" spans="2:29" x14ac:dyDescent="0.25">
      <c r="B69" s="53" t="str">
        <f t="shared" si="8"/>
        <v/>
      </c>
      <c r="C69" s="55" t="str">
        <f>IF(F68=0,"",'Loan Repayment Input Sheet'!I51)</f>
        <v/>
      </c>
      <c r="D69" s="56">
        <f>'Loan Repayment Input Sheet'!H51</f>
        <v>0</v>
      </c>
      <c r="E69" s="56">
        <f>'Loan Repayment Input Sheet'!G51</f>
        <v>0</v>
      </c>
      <c r="F69" s="56">
        <f>'Loan Repayment Input Sheet'!J51</f>
        <v>0</v>
      </c>
      <c r="S69" s="76">
        <v>68</v>
      </c>
      <c r="Z69" s="76">
        <f t="shared" si="4"/>
        <v>66</v>
      </c>
      <c r="AA69" s="76" t="e">
        <f t="shared" si="5"/>
        <v>#VALUE!</v>
      </c>
      <c r="AB69" s="76" t="e">
        <f t="shared" si="6"/>
        <v>#VALUE!</v>
      </c>
      <c r="AC69" s="76">
        <f t="shared" si="7"/>
        <v>66</v>
      </c>
    </row>
    <row r="70" spans="2:29" x14ac:dyDescent="0.25">
      <c r="B70" s="53" t="str">
        <f t="shared" si="8"/>
        <v/>
      </c>
      <c r="C70" s="55" t="str">
        <f>IF(F69=0,"",'Loan Repayment Input Sheet'!I52)</f>
        <v/>
      </c>
      <c r="D70" s="56">
        <f>'Loan Repayment Input Sheet'!H52</f>
        <v>0</v>
      </c>
      <c r="E70" s="56">
        <f>'Loan Repayment Input Sheet'!G52</f>
        <v>0</v>
      </c>
      <c r="F70" s="56">
        <f>'Loan Repayment Input Sheet'!J52</f>
        <v>0</v>
      </c>
      <c r="S70" s="76">
        <v>69</v>
      </c>
      <c r="Z70" s="76">
        <f t="shared" ref="Z70:Z106" si="9">IF($C$12="NO","",IF(COUNTIF($V$4:$X$9,S68)&gt;0,"PAYG Holiday Already Applied",S68))</f>
        <v>67</v>
      </c>
      <c r="AA70" s="76" t="e">
        <f t="shared" ref="AA70:AA99" si="10">IF(COUNTIF($X$4:$X$9,S75)&gt;0,"PAYG Holiday Already Applied",IF(AA69&lt;102,AA69+1,""))</f>
        <v>#VALUE!</v>
      </c>
      <c r="AB70" s="76" t="e">
        <f t="shared" ref="AB70:AB93" si="11">IF(COUNTIF($X$4:$X$9,S81)&gt;0,"PAYG Holiday Already Applied",IF(AB69&lt;102,AB69+1,""))</f>
        <v>#VALUE!</v>
      </c>
      <c r="AC70" s="76">
        <f t="shared" ref="AC70:AC105" si="12">IF($C$22="NO","",IF(COUNTIF($U$4:$W$9,S68)&gt;0,"PAYG Holiday Already Applied",S68))</f>
        <v>67</v>
      </c>
    </row>
    <row r="71" spans="2:29" x14ac:dyDescent="0.25">
      <c r="B71" s="53" t="str">
        <f t="shared" si="8"/>
        <v/>
      </c>
      <c r="C71" s="55" t="str">
        <f>IF(F70=0,"",'Loan Repayment Input Sheet'!I53)</f>
        <v/>
      </c>
      <c r="D71" s="56">
        <f>'Loan Repayment Input Sheet'!H53</f>
        <v>0</v>
      </c>
      <c r="E71" s="56">
        <f>'Loan Repayment Input Sheet'!G53</f>
        <v>0</v>
      </c>
      <c r="F71" s="56">
        <f>'Loan Repayment Input Sheet'!J53</f>
        <v>0</v>
      </c>
      <c r="S71" s="76">
        <v>70</v>
      </c>
      <c r="Z71" s="76">
        <f t="shared" si="9"/>
        <v>68</v>
      </c>
      <c r="AA71" s="76" t="e">
        <f t="shared" si="10"/>
        <v>#VALUE!</v>
      </c>
      <c r="AB71" s="76" t="e">
        <f t="shared" si="11"/>
        <v>#VALUE!</v>
      </c>
      <c r="AC71" s="76">
        <f t="shared" si="12"/>
        <v>68</v>
      </c>
    </row>
    <row r="72" spans="2:29" x14ac:dyDescent="0.25">
      <c r="B72" s="53" t="str">
        <f t="shared" si="8"/>
        <v/>
      </c>
      <c r="C72" s="55" t="str">
        <f>IF(F71=0,"",'Loan Repayment Input Sheet'!I54)</f>
        <v/>
      </c>
      <c r="D72" s="56">
        <f>'Loan Repayment Input Sheet'!H54</f>
        <v>0</v>
      </c>
      <c r="E72" s="56">
        <f>'Loan Repayment Input Sheet'!G54</f>
        <v>0</v>
      </c>
      <c r="F72" s="56">
        <f>'Loan Repayment Input Sheet'!J54</f>
        <v>0</v>
      </c>
      <c r="S72" s="76">
        <v>71</v>
      </c>
      <c r="Z72" s="76">
        <f t="shared" si="9"/>
        <v>69</v>
      </c>
      <c r="AA72" s="76" t="e">
        <f t="shared" si="10"/>
        <v>#VALUE!</v>
      </c>
      <c r="AB72" s="76" t="e">
        <f t="shared" si="11"/>
        <v>#VALUE!</v>
      </c>
      <c r="AC72" s="76">
        <f t="shared" si="12"/>
        <v>69</v>
      </c>
    </row>
    <row r="73" spans="2:29" x14ac:dyDescent="0.25">
      <c r="B73" s="53" t="str">
        <f t="shared" si="8"/>
        <v/>
      </c>
      <c r="C73" s="55" t="str">
        <f>IF(F72=0,"",'Loan Repayment Input Sheet'!I55)</f>
        <v/>
      </c>
      <c r="D73" s="56">
        <f>'Loan Repayment Input Sheet'!H55</f>
        <v>0</v>
      </c>
      <c r="E73" s="56">
        <f>'Loan Repayment Input Sheet'!G55</f>
        <v>0</v>
      </c>
      <c r="F73" s="56">
        <f>'Loan Repayment Input Sheet'!J55</f>
        <v>0</v>
      </c>
      <c r="S73" s="76">
        <v>72</v>
      </c>
      <c r="Z73" s="76">
        <f t="shared" si="9"/>
        <v>70</v>
      </c>
      <c r="AA73" s="76" t="e">
        <f t="shared" si="10"/>
        <v>#VALUE!</v>
      </c>
      <c r="AB73" s="76" t="e">
        <f t="shared" si="11"/>
        <v>#VALUE!</v>
      </c>
      <c r="AC73" s="76">
        <f t="shared" si="12"/>
        <v>70</v>
      </c>
    </row>
    <row r="74" spans="2:29" x14ac:dyDescent="0.25">
      <c r="B74" s="53" t="str">
        <f t="shared" si="8"/>
        <v/>
      </c>
      <c r="C74" s="55" t="str">
        <f>IF(F73=0,"",'Loan Repayment Input Sheet'!I56)</f>
        <v/>
      </c>
      <c r="D74" s="56">
        <f>'Loan Repayment Input Sheet'!H56</f>
        <v>0</v>
      </c>
      <c r="E74" s="56">
        <f>'Loan Repayment Input Sheet'!G56</f>
        <v>0</v>
      </c>
      <c r="F74" s="56">
        <f>'Loan Repayment Input Sheet'!J56</f>
        <v>0</v>
      </c>
      <c r="S74" s="76">
        <v>73</v>
      </c>
      <c r="Z74" s="76">
        <f t="shared" si="9"/>
        <v>71</v>
      </c>
      <c r="AA74" s="76" t="e">
        <f t="shared" si="10"/>
        <v>#VALUE!</v>
      </c>
      <c r="AB74" s="76" t="e">
        <f t="shared" si="11"/>
        <v>#VALUE!</v>
      </c>
      <c r="AC74" s="76">
        <f t="shared" si="12"/>
        <v>71</v>
      </c>
    </row>
    <row r="75" spans="2:29" x14ac:dyDescent="0.25">
      <c r="B75" s="53" t="str">
        <f t="shared" si="8"/>
        <v/>
      </c>
      <c r="C75" s="55" t="str">
        <f>IF(F74=0,"",'Loan Repayment Input Sheet'!I57)</f>
        <v/>
      </c>
      <c r="D75" s="56">
        <f>'Loan Repayment Input Sheet'!H57</f>
        <v>0</v>
      </c>
      <c r="E75" s="56">
        <f>'Loan Repayment Input Sheet'!G57</f>
        <v>0</v>
      </c>
      <c r="F75" s="56">
        <f>'Loan Repayment Input Sheet'!J57</f>
        <v>0</v>
      </c>
      <c r="S75" s="76">
        <v>74</v>
      </c>
      <c r="Z75" s="76">
        <f t="shared" si="9"/>
        <v>72</v>
      </c>
      <c r="AA75" s="76" t="e">
        <f t="shared" si="10"/>
        <v>#VALUE!</v>
      </c>
      <c r="AB75" s="76" t="e">
        <f t="shared" si="11"/>
        <v>#VALUE!</v>
      </c>
      <c r="AC75" s="76">
        <f t="shared" si="12"/>
        <v>72</v>
      </c>
    </row>
    <row r="76" spans="2:29" x14ac:dyDescent="0.25">
      <c r="B76" s="53" t="str">
        <f t="shared" si="8"/>
        <v/>
      </c>
      <c r="C76" s="55" t="str">
        <f>IF(F75=0,"",'Loan Repayment Input Sheet'!I58)</f>
        <v/>
      </c>
      <c r="D76" s="56">
        <f>'Loan Repayment Input Sheet'!H58</f>
        <v>0</v>
      </c>
      <c r="E76" s="56">
        <f>'Loan Repayment Input Sheet'!G58</f>
        <v>0</v>
      </c>
      <c r="F76" s="56">
        <f>'Loan Repayment Input Sheet'!J58</f>
        <v>0</v>
      </c>
      <c r="S76" s="76">
        <v>75</v>
      </c>
      <c r="Z76" s="76">
        <f t="shared" si="9"/>
        <v>73</v>
      </c>
      <c r="AA76" s="76" t="e">
        <f t="shared" si="10"/>
        <v>#VALUE!</v>
      </c>
      <c r="AB76" s="76" t="e">
        <f t="shared" si="11"/>
        <v>#VALUE!</v>
      </c>
      <c r="AC76" s="76">
        <f t="shared" si="12"/>
        <v>73</v>
      </c>
    </row>
    <row r="77" spans="2:29" x14ac:dyDescent="0.25">
      <c r="B77" s="53" t="str">
        <f t="shared" si="8"/>
        <v/>
      </c>
      <c r="C77" s="55" t="str">
        <f>IF(F76=0,"",'Loan Repayment Input Sheet'!I59)</f>
        <v/>
      </c>
      <c r="D77" s="56">
        <f>'Loan Repayment Input Sheet'!H59</f>
        <v>0</v>
      </c>
      <c r="E77" s="56">
        <f>'Loan Repayment Input Sheet'!G59</f>
        <v>0</v>
      </c>
      <c r="F77" s="56">
        <f>'Loan Repayment Input Sheet'!J59</f>
        <v>0</v>
      </c>
      <c r="S77" s="76">
        <v>76</v>
      </c>
      <c r="Z77" s="76">
        <f t="shared" si="9"/>
        <v>74</v>
      </c>
      <c r="AA77" s="76" t="e">
        <f t="shared" si="10"/>
        <v>#VALUE!</v>
      </c>
      <c r="AB77" s="76" t="e">
        <f t="shared" si="11"/>
        <v>#VALUE!</v>
      </c>
      <c r="AC77" s="76">
        <f t="shared" si="12"/>
        <v>74</v>
      </c>
    </row>
    <row r="78" spans="2:29" x14ac:dyDescent="0.25">
      <c r="B78" s="53" t="str">
        <f t="shared" si="8"/>
        <v/>
      </c>
      <c r="C78" s="55" t="str">
        <f>IF(F77=0,"",'Loan Repayment Input Sheet'!I60)</f>
        <v/>
      </c>
      <c r="D78" s="56">
        <f>'Loan Repayment Input Sheet'!H60</f>
        <v>0</v>
      </c>
      <c r="E78" s="56">
        <f>'Loan Repayment Input Sheet'!G60</f>
        <v>0</v>
      </c>
      <c r="F78" s="56">
        <f>'Loan Repayment Input Sheet'!J60</f>
        <v>0</v>
      </c>
      <c r="S78" s="76">
        <v>77</v>
      </c>
      <c r="Z78" s="76">
        <f t="shared" si="9"/>
        <v>75</v>
      </c>
      <c r="AA78" s="76" t="e">
        <f t="shared" si="10"/>
        <v>#VALUE!</v>
      </c>
      <c r="AB78" s="76" t="e">
        <f t="shared" si="11"/>
        <v>#VALUE!</v>
      </c>
      <c r="AC78" s="76">
        <f t="shared" si="12"/>
        <v>75</v>
      </c>
    </row>
    <row r="79" spans="2:29" x14ac:dyDescent="0.25">
      <c r="B79" s="53" t="str">
        <f t="shared" si="8"/>
        <v/>
      </c>
      <c r="C79" s="55" t="str">
        <f>IF(F78=0,"",'Loan Repayment Input Sheet'!I61)</f>
        <v/>
      </c>
      <c r="D79" s="56">
        <f>'Loan Repayment Input Sheet'!H61</f>
        <v>0</v>
      </c>
      <c r="E79" s="56">
        <f>'Loan Repayment Input Sheet'!G61</f>
        <v>0</v>
      </c>
      <c r="F79" s="56">
        <f>'Loan Repayment Input Sheet'!J61</f>
        <v>0</v>
      </c>
      <c r="S79" s="76">
        <v>78</v>
      </c>
      <c r="Z79" s="76">
        <f t="shared" si="9"/>
        <v>76</v>
      </c>
      <c r="AA79" s="76" t="e">
        <f t="shared" si="10"/>
        <v>#VALUE!</v>
      </c>
      <c r="AB79" s="76" t="e">
        <f t="shared" si="11"/>
        <v>#VALUE!</v>
      </c>
      <c r="AC79" s="76">
        <f t="shared" si="12"/>
        <v>76</v>
      </c>
    </row>
    <row r="80" spans="2:29" x14ac:dyDescent="0.25">
      <c r="B80" s="53" t="str">
        <f t="shared" si="8"/>
        <v/>
      </c>
      <c r="C80" s="55" t="str">
        <f>IF(F79=0,"",'Loan Repayment Input Sheet'!I62)</f>
        <v/>
      </c>
      <c r="D80" s="56">
        <f>'Loan Repayment Input Sheet'!H62</f>
        <v>0</v>
      </c>
      <c r="E80" s="56">
        <f>'Loan Repayment Input Sheet'!G62</f>
        <v>0</v>
      </c>
      <c r="F80" s="56">
        <f>'Loan Repayment Input Sheet'!J62</f>
        <v>0</v>
      </c>
      <c r="S80" s="76">
        <v>79</v>
      </c>
      <c r="Z80" s="76">
        <f t="shared" si="9"/>
        <v>77</v>
      </c>
      <c r="AA80" s="76" t="e">
        <f t="shared" si="10"/>
        <v>#VALUE!</v>
      </c>
      <c r="AB80" s="76" t="e">
        <f t="shared" si="11"/>
        <v>#VALUE!</v>
      </c>
      <c r="AC80" s="76">
        <f t="shared" si="12"/>
        <v>77</v>
      </c>
    </row>
    <row r="81" spans="2:29" x14ac:dyDescent="0.25">
      <c r="B81" s="53" t="str">
        <f t="shared" si="8"/>
        <v/>
      </c>
      <c r="C81" s="55" t="str">
        <f>IF(F80=0,"",'Loan Repayment Input Sheet'!I63)</f>
        <v/>
      </c>
      <c r="D81" s="56">
        <f>'Loan Repayment Input Sheet'!H63</f>
        <v>0</v>
      </c>
      <c r="E81" s="56">
        <f>'Loan Repayment Input Sheet'!G63</f>
        <v>0</v>
      </c>
      <c r="F81" s="56">
        <f>'Loan Repayment Input Sheet'!J63</f>
        <v>0</v>
      </c>
      <c r="S81" s="76">
        <v>80</v>
      </c>
      <c r="Z81" s="76">
        <f t="shared" si="9"/>
        <v>78</v>
      </c>
      <c r="AA81" s="76" t="e">
        <f t="shared" si="10"/>
        <v>#VALUE!</v>
      </c>
      <c r="AB81" s="76" t="e">
        <f t="shared" si="11"/>
        <v>#VALUE!</v>
      </c>
      <c r="AC81" s="76">
        <f t="shared" si="12"/>
        <v>78</v>
      </c>
    </row>
    <row r="82" spans="2:29" x14ac:dyDescent="0.25">
      <c r="B82" s="53" t="str">
        <f t="shared" si="8"/>
        <v/>
      </c>
      <c r="C82" s="55" t="str">
        <f>IF(F81=0,"",'Loan Repayment Input Sheet'!I64)</f>
        <v/>
      </c>
      <c r="D82" s="56">
        <f>'Loan Repayment Input Sheet'!H64</f>
        <v>0</v>
      </c>
      <c r="E82" s="56">
        <f>'Loan Repayment Input Sheet'!G64</f>
        <v>0</v>
      </c>
      <c r="F82" s="56">
        <f>'Loan Repayment Input Sheet'!J64</f>
        <v>0</v>
      </c>
      <c r="S82" s="76">
        <v>81</v>
      </c>
      <c r="Z82" s="76">
        <f t="shared" si="9"/>
        <v>79</v>
      </c>
      <c r="AA82" s="76" t="e">
        <f t="shared" si="10"/>
        <v>#VALUE!</v>
      </c>
      <c r="AB82" s="76" t="e">
        <f t="shared" si="11"/>
        <v>#VALUE!</v>
      </c>
      <c r="AC82" s="76">
        <f t="shared" si="12"/>
        <v>79</v>
      </c>
    </row>
    <row r="83" spans="2:29" x14ac:dyDescent="0.25">
      <c r="B83" s="53" t="str">
        <f t="shared" si="8"/>
        <v/>
      </c>
      <c r="C83" s="55" t="str">
        <f>IF(F82=0,"",'Loan Repayment Input Sheet'!I65)</f>
        <v/>
      </c>
      <c r="D83" s="56">
        <f>'Loan Repayment Input Sheet'!H65</f>
        <v>0</v>
      </c>
      <c r="E83" s="56">
        <f>'Loan Repayment Input Sheet'!G65</f>
        <v>0</v>
      </c>
      <c r="F83" s="56">
        <f>'Loan Repayment Input Sheet'!J65</f>
        <v>0</v>
      </c>
      <c r="S83" s="76">
        <v>82</v>
      </c>
      <c r="Z83" s="76">
        <f t="shared" si="9"/>
        <v>80</v>
      </c>
      <c r="AA83" s="76" t="e">
        <f t="shared" si="10"/>
        <v>#VALUE!</v>
      </c>
      <c r="AB83" s="76" t="e">
        <f t="shared" si="11"/>
        <v>#VALUE!</v>
      </c>
      <c r="AC83" s="76">
        <f t="shared" si="12"/>
        <v>80</v>
      </c>
    </row>
    <row r="84" spans="2:29" x14ac:dyDescent="0.25">
      <c r="B84" s="53" t="str">
        <f t="shared" si="8"/>
        <v/>
      </c>
      <c r="C84" s="55" t="str">
        <f>IF(F83=0,"",'Loan Repayment Input Sheet'!I66)</f>
        <v/>
      </c>
      <c r="D84" s="56">
        <f>'Loan Repayment Input Sheet'!H66</f>
        <v>0</v>
      </c>
      <c r="E84" s="56">
        <f>'Loan Repayment Input Sheet'!G66</f>
        <v>0</v>
      </c>
      <c r="F84" s="56">
        <f>'Loan Repayment Input Sheet'!J66</f>
        <v>0</v>
      </c>
      <c r="S84" s="76">
        <v>83</v>
      </c>
      <c r="Z84" s="76">
        <f t="shared" si="9"/>
        <v>81</v>
      </c>
      <c r="AA84" s="76" t="e">
        <f t="shared" si="10"/>
        <v>#VALUE!</v>
      </c>
      <c r="AB84" s="76" t="e">
        <f t="shared" si="11"/>
        <v>#VALUE!</v>
      </c>
      <c r="AC84" s="76">
        <f t="shared" si="12"/>
        <v>81</v>
      </c>
    </row>
    <row r="85" spans="2:29" x14ac:dyDescent="0.25">
      <c r="B85" s="53" t="str">
        <f t="shared" si="8"/>
        <v/>
      </c>
      <c r="C85" s="55" t="str">
        <f>IF(F84=0,"",'Loan Repayment Input Sheet'!I67)</f>
        <v/>
      </c>
      <c r="D85" s="56">
        <f>'Loan Repayment Input Sheet'!H67</f>
        <v>0</v>
      </c>
      <c r="E85" s="56">
        <f>'Loan Repayment Input Sheet'!G67</f>
        <v>0</v>
      </c>
      <c r="F85" s="56">
        <f>'Loan Repayment Input Sheet'!J67</f>
        <v>0</v>
      </c>
      <c r="S85" s="76">
        <v>84</v>
      </c>
      <c r="Z85" s="76">
        <f t="shared" si="9"/>
        <v>82</v>
      </c>
      <c r="AA85" s="76" t="e">
        <f t="shared" si="10"/>
        <v>#VALUE!</v>
      </c>
      <c r="AB85" s="76" t="e">
        <f t="shared" si="11"/>
        <v>#VALUE!</v>
      </c>
      <c r="AC85" s="76">
        <f t="shared" si="12"/>
        <v>82</v>
      </c>
    </row>
    <row r="86" spans="2:29" x14ac:dyDescent="0.25">
      <c r="B86" s="53" t="str">
        <f t="shared" si="8"/>
        <v/>
      </c>
      <c r="C86" s="55" t="str">
        <f>IF(F85=0,"",'Loan Repayment Input Sheet'!I68)</f>
        <v/>
      </c>
      <c r="D86" s="56">
        <f>'Loan Repayment Input Sheet'!H68</f>
        <v>0</v>
      </c>
      <c r="E86" s="56">
        <f>'Loan Repayment Input Sheet'!G68</f>
        <v>0</v>
      </c>
      <c r="F86" s="56">
        <f>'Loan Repayment Input Sheet'!J68</f>
        <v>0</v>
      </c>
      <c r="S86" s="76">
        <v>85</v>
      </c>
      <c r="Z86" s="76">
        <f t="shared" si="9"/>
        <v>83</v>
      </c>
      <c r="AA86" s="76" t="e">
        <f t="shared" si="10"/>
        <v>#VALUE!</v>
      </c>
      <c r="AB86" s="76" t="e">
        <f t="shared" si="11"/>
        <v>#VALUE!</v>
      </c>
      <c r="AC86" s="76">
        <f t="shared" si="12"/>
        <v>83</v>
      </c>
    </row>
    <row r="87" spans="2:29" x14ac:dyDescent="0.25">
      <c r="B87" s="53" t="str">
        <f t="shared" si="8"/>
        <v/>
      </c>
      <c r="C87" s="55" t="str">
        <f>IF(F86=0,"",'Loan Repayment Input Sheet'!I69)</f>
        <v/>
      </c>
      <c r="D87" s="56">
        <f>'Loan Repayment Input Sheet'!H69</f>
        <v>0</v>
      </c>
      <c r="E87" s="56">
        <f>'Loan Repayment Input Sheet'!G69</f>
        <v>0</v>
      </c>
      <c r="F87" s="56">
        <f>'Loan Repayment Input Sheet'!J69</f>
        <v>0</v>
      </c>
      <c r="S87" s="76">
        <v>86</v>
      </c>
      <c r="Z87" s="76">
        <f t="shared" si="9"/>
        <v>84</v>
      </c>
      <c r="AA87" s="76" t="e">
        <f t="shared" si="10"/>
        <v>#VALUE!</v>
      </c>
      <c r="AB87" s="76" t="e">
        <f t="shared" si="11"/>
        <v>#VALUE!</v>
      </c>
      <c r="AC87" s="76">
        <f t="shared" si="12"/>
        <v>84</v>
      </c>
    </row>
    <row r="88" spans="2:29" x14ac:dyDescent="0.25">
      <c r="B88" s="53" t="str">
        <f t="shared" si="8"/>
        <v/>
      </c>
      <c r="C88" s="55" t="str">
        <f>IF(F87=0,"",'Loan Repayment Input Sheet'!I70)</f>
        <v/>
      </c>
      <c r="D88" s="56">
        <f>'Loan Repayment Input Sheet'!H70</f>
        <v>0</v>
      </c>
      <c r="E88" s="56">
        <f>'Loan Repayment Input Sheet'!G70</f>
        <v>0</v>
      </c>
      <c r="F88" s="56">
        <f>'Loan Repayment Input Sheet'!J70</f>
        <v>0</v>
      </c>
      <c r="S88" s="76">
        <v>87</v>
      </c>
      <c r="Z88" s="76">
        <f t="shared" si="9"/>
        <v>85</v>
      </c>
      <c r="AA88" s="76" t="e">
        <f t="shared" si="10"/>
        <v>#VALUE!</v>
      </c>
      <c r="AB88" s="76" t="e">
        <f t="shared" si="11"/>
        <v>#VALUE!</v>
      </c>
      <c r="AC88" s="76">
        <f t="shared" si="12"/>
        <v>85</v>
      </c>
    </row>
    <row r="89" spans="2:29" x14ac:dyDescent="0.25">
      <c r="B89" s="53" t="str">
        <f t="shared" si="8"/>
        <v/>
      </c>
      <c r="C89" s="55" t="str">
        <f>IF(F88=0,"",'Loan Repayment Input Sheet'!I71)</f>
        <v/>
      </c>
      <c r="D89" s="56">
        <f>'Loan Repayment Input Sheet'!H71</f>
        <v>0</v>
      </c>
      <c r="E89" s="56">
        <f>'Loan Repayment Input Sheet'!G71</f>
        <v>0</v>
      </c>
      <c r="F89" s="56">
        <f>'Loan Repayment Input Sheet'!J71</f>
        <v>0</v>
      </c>
      <c r="S89" s="76">
        <v>88</v>
      </c>
      <c r="Z89" s="76">
        <f t="shared" si="9"/>
        <v>86</v>
      </c>
      <c r="AA89" s="76" t="e">
        <f t="shared" si="10"/>
        <v>#VALUE!</v>
      </c>
      <c r="AB89" s="76" t="e">
        <f t="shared" si="11"/>
        <v>#VALUE!</v>
      </c>
      <c r="AC89" s="76">
        <f t="shared" si="12"/>
        <v>86</v>
      </c>
    </row>
    <row r="90" spans="2:29" x14ac:dyDescent="0.25">
      <c r="B90" s="53" t="str">
        <f t="shared" si="8"/>
        <v/>
      </c>
      <c r="C90" s="55" t="str">
        <f>IF(F89=0,"",'Loan Repayment Input Sheet'!I72)</f>
        <v/>
      </c>
      <c r="D90" s="56">
        <f>'Loan Repayment Input Sheet'!H72</f>
        <v>0</v>
      </c>
      <c r="E90" s="56">
        <f>'Loan Repayment Input Sheet'!G72</f>
        <v>0</v>
      </c>
      <c r="F90" s="56">
        <f>'Loan Repayment Input Sheet'!J72</f>
        <v>0</v>
      </c>
      <c r="S90" s="76">
        <v>89</v>
      </c>
      <c r="Z90" s="76">
        <f t="shared" si="9"/>
        <v>87</v>
      </c>
      <c r="AA90" s="76" t="e">
        <f t="shared" si="10"/>
        <v>#VALUE!</v>
      </c>
      <c r="AB90" s="76" t="e">
        <f t="shared" si="11"/>
        <v>#VALUE!</v>
      </c>
      <c r="AC90" s="76">
        <f t="shared" si="12"/>
        <v>87</v>
      </c>
    </row>
    <row r="91" spans="2:29" x14ac:dyDescent="0.25">
      <c r="B91" s="53" t="str">
        <f t="shared" si="8"/>
        <v/>
      </c>
      <c r="C91" s="55" t="str">
        <f>IF(F90=0,"",'Loan Repayment Input Sheet'!I73)</f>
        <v/>
      </c>
      <c r="D91" s="56">
        <f>'Loan Repayment Input Sheet'!H73</f>
        <v>0</v>
      </c>
      <c r="E91" s="56">
        <f>'Loan Repayment Input Sheet'!G73</f>
        <v>0</v>
      </c>
      <c r="F91" s="56">
        <f>'Loan Repayment Input Sheet'!J73</f>
        <v>0</v>
      </c>
      <c r="S91" s="76">
        <v>90</v>
      </c>
      <c r="Z91" s="76">
        <f t="shared" si="9"/>
        <v>88</v>
      </c>
      <c r="AA91" s="76" t="e">
        <f t="shared" si="10"/>
        <v>#VALUE!</v>
      </c>
      <c r="AB91" s="76" t="e">
        <f t="shared" si="11"/>
        <v>#VALUE!</v>
      </c>
      <c r="AC91" s="76">
        <f t="shared" si="12"/>
        <v>88</v>
      </c>
    </row>
    <row r="92" spans="2:29" x14ac:dyDescent="0.25">
      <c r="B92" s="53" t="str">
        <f t="shared" si="8"/>
        <v/>
      </c>
      <c r="C92" s="55" t="str">
        <f>IF(F91=0,"",'Loan Repayment Input Sheet'!I74)</f>
        <v/>
      </c>
      <c r="D92" s="56">
        <f>'Loan Repayment Input Sheet'!H74</f>
        <v>0</v>
      </c>
      <c r="E92" s="56">
        <f>'Loan Repayment Input Sheet'!G74</f>
        <v>0</v>
      </c>
      <c r="F92" s="56">
        <f>'Loan Repayment Input Sheet'!J74</f>
        <v>0</v>
      </c>
      <c r="S92" s="76">
        <v>91</v>
      </c>
      <c r="Z92" s="76">
        <f t="shared" si="9"/>
        <v>89</v>
      </c>
      <c r="AA92" s="76" t="e">
        <f t="shared" si="10"/>
        <v>#VALUE!</v>
      </c>
      <c r="AB92" s="76" t="e">
        <f t="shared" si="11"/>
        <v>#VALUE!</v>
      </c>
      <c r="AC92" s="76">
        <f t="shared" si="12"/>
        <v>89</v>
      </c>
    </row>
    <row r="93" spans="2:29" x14ac:dyDescent="0.25">
      <c r="B93" s="53" t="str">
        <f t="shared" si="8"/>
        <v/>
      </c>
      <c r="C93" s="55" t="str">
        <f>IF(F92=0,"",'Loan Repayment Input Sheet'!I75)</f>
        <v/>
      </c>
      <c r="D93" s="56">
        <f>'Loan Repayment Input Sheet'!H75</f>
        <v>0</v>
      </c>
      <c r="E93" s="56">
        <f>'Loan Repayment Input Sheet'!G75</f>
        <v>0</v>
      </c>
      <c r="F93" s="56">
        <f>'Loan Repayment Input Sheet'!J75</f>
        <v>0</v>
      </c>
      <c r="S93" s="76">
        <v>92</v>
      </c>
      <c r="Z93" s="76">
        <f t="shared" si="9"/>
        <v>90</v>
      </c>
      <c r="AA93" s="76" t="e">
        <f t="shared" si="10"/>
        <v>#VALUE!</v>
      </c>
      <c r="AB93" s="76" t="e">
        <f t="shared" si="11"/>
        <v>#VALUE!</v>
      </c>
      <c r="AC93" s="76">
        <f t="shared" si="12"/>
        <v>90</v>
      </c>
    </row>
    <row r="94" spans="2:29" x14ac:dyDescent="0.25">
      <c r="B94" s="53" t="str">
        <f t="shared" si="8"/>
        <v/>
      </c>
      <c r="C94" s="55" t="str">
        <f>IF(F93=0,"",'Loan Repayment Input Sheet'!I76)</f>
        <v/>
      </c>
      <c r="D94" s="56">
        <f>'Loan Repayment Input Sheet'!H76</f>
        <v>0</v>
      </c>
      <c r="E94" s="56">
        <f>'Loan Repayment Input Sheet'!G76</f>
        <v>0</v>
      </c>
      <c r="F94" s="56">
        <f>'Loan Repayment Input Sheet'!J76</f>
        <v>0</v>
      </c>
      <c r="S94" s="76">
        <v>93</v>
      </c>
      <c r="Z94" s="76">
        <f t="shared" si="9"/>
        <v>91</v>
      </c>
      <c r="AA94" s="76" t="e">
        <f t="shared" si="10"/>
        <v>#VALUE!</v>
      </c>
      <c r="AB94" s="76" t="e">
        <f>IF(COUNTIF($X$4:$X$9,S105)&gt;0,"PAYG Holiday Already Applied",IF(AB93&lt;102,AB93+1,""))</f>
        <v>#VALUE!</v>
      </c>
      <c r="AC94" s="76">
        <f t="shared" si="12"/>
        <v>91</v>
      </c>
    </row>
    <row r="95" spans="2:29" x14ac:dyDescent="0.25">
      <c r="B95" s="53" t="str">
        <f t="shared" si="8"/>
        <v/>
      </c>
      <c r="C95" s="55" t="str">
        <f>IF(F94=0,"",'Loan Repayment Input Sheet'!I77)</f>
        <v/>
      </c>
      <c r="D95" s="56">
        <f>'Loan Repayment Input Sheet'!H77</f>
        <v>0</v>
      </c>
      <c r="E95" s="56">
        <f>'Loan Repayment Input Sheet'!G77</f>
        <v>0</v>
      </c>
      <c r="F95" s="56">
        <f>'Loan Repayment Input Sheet'!J77</f>
        <v>0</v>
      </c>
      <c r="S95" s="76">
        <v>94</v>
      </c>
      <c r="Z95" s="76">
        <f t="shared" si="9"/>
        <v>92</v>
      </c>
      <c r="AA95" s="76" t="e">
        <f t="shared" si="10"/>
        <v>#VALUE!</v>
      </c>
      <c r="AB95" s="76" t="e">
        <f t="shared" ref="AB95:AB100" si="13">IF(COUNTIF($X$4:$X$9,S106)&gt;0,"PAYG Holiday Already Applied",IF(AB94&lt;102,AB94+1,""))</f>
        <v>#VALUE!</v>
      </c>
      <c r="AC95" s="76">
        <f t="shared" si="12"/>
        <v>92</v>
      </c>
    </row>
    <row r="96" spans="2:29" x14ac:dyDescent="0.25">
      <c r="B96" s="53" t="str">
        <f t="shared" si="8"/>
        <v/>
      </c>
      <c r="C96" s="55" t="str">
        <f>IF(F95=0,"",'Loan Repayment Input Sheet'!I78)</f>
        <v/>
      </c>
      <c r="D96" s="56">
        <f>'Loan Repayment Input Sheet'!H78</f>
        <v>0</v>
      </c>
      <c r="E96" s="56">
        <f>'Loan Repayment Input Sheet'!G78</f>
        <v>0</v>
      </c>
      <c r="F96" s="56">
        <f>'Loan Repayment Input Sheet'!J78</f>
        <v>0</v>
      </c>
      <c r="S96" s="76">
        <v>95</v>
      </c>
      <c r="Z96" s="76">
        <f t="shared" si="9"/>
        <v>93</v>
      </c>
      <c r="AA96" s="76" t="e">
        <f t="shared" si="10"/>
        <v>#VALUE!</v>
      </c>
      <c r="AB96" s="76" t="e">
        <f t="shared" si="13"/>
        <v>#VALUE!</v>
      </c>
      <c r="AC96" s="76">
        <f t="shared" si="12"/>
        <v>93</v>
      </c>
    </row>
    <row r="97" spans="2:29" x14ac:dyDescent="0.25">
      <c r="B97" s="53" t="str">
        <f t="shared" si="8"/>
        <v/>
      </c>
      <c r="C97" s="55" t="str">
        <f>IF(F96=0,"",'Loan Repayment Input Sheet'!I79)</f>
        <v/>
      </c>
      <c r="D97" s="56">
        <f>'Loan Repayment Input Sheet'!H79</f>
        <v>0</v>
      </c>
      <c r="E97" s="56">
        <f>'Loan Repayment Input Sheet'!G79</f>
        <v>0</v>
      </c>
      <c r="F97" s="56">
        <f>'Loan Repayment Input Sheet'!J79</f>
        <v>0</v>
      </c>
      <c r="S97" s="76">
        <v>96</v>
      </c>
      <c r="Z97" s="76">
        <f t="shared" si="9"/>
        <v>94</v>
      </c>
      <c r="AA97" s="76" t="e">
        <f t="shared" si="10"/>
        <v>#VALUE!</v>
      </c>
      <c r="AB97" s="76" t="e">
        <f t="shared" si="13"/>
        <v>#VALUE!</v>
      </c>
      <c r="AC97" s="76">
        <f t="shared" si="12"/>
        <v>94</v>
      </c>
    </row>
    <row r="98" spans="2:29" x14ac:dyDescent="0.25">
      <c r="B98" s="53" t="str">
        <f t="shared" si="8"/>
        <v/>
      </c>
      <c r="C98" s="55" t="str">
        <f>IF(F97=0,"",'Loan Repayment Input Sheet'!I80)</f>
        <v/>
      </c>
      <c r="D98" s="56">
        <f>'Loan Repayment Input Sheet'!H80</f>
        <v>0</v>
      </c>
      <c r="E98" s="56">
        <f>'Loan Repayment Input Sheet'!G80</f>
        <v>0</v>
      </c>
      <c r="F98" s="56">
        <f>'Loan Repayment Input Sheet'!J80</f>
        <v>0</v>
      </c>
      <c r="S98" s="76">
        <v>97</v>
      </c>
      <c r="Z98" s="76">
        <f t="shared" si="9"/>
        <v>95</v>
      </c>
      <c r="AA98" s="76" t="e">
        <f t="shared" si="10"/>
        <v>#VALUE!</v>
      </c>
      <c r="AB98" s="76" t="e">
        <f t="shared" si="13"/>
        <v>#VALUE!</v>
      </c>
      <c r="AC98" s="76">
        <f t="shared" si="12"/>
        <v>95</v>
      </c>
    </row>
    <row r="99" spans="2:29" x14ac:dyDescent="0.25">
      <c r="B99" s="53" t="str">
        <f t="shared" si="8"/>
        <v/>
      </c>
      <c r="C99" s="55" t="str">
        <f>IF(F98=0,"",'Loan Repayment Input Sheet'!I81)</f>
        <v/>
      </c>
      <c r="D99" s="56">
        <f>'Loan Repayment Input Sheet'!H81</f>
        <v>0</v>
      </c>
      <c r="E99" s="56">
        <f>'Loan Repayment Input Sheet'!G81</f>
        <v>0</v>
      </c>
      <c r="F99" s="56">
        <f>'Loan Repayment Input Sheet'!J81</f>
        <v>0</v>
      </c>
      <c r="S99" s="76">
        <v>98</v>
      </c>
      <c r="Z99" s="76">
        <f t="shared" si="9"/>
        <v>96</v>
      </c>
      <c r="AA99" s="76" t="e">
        <f t="shared" si="10"/>
        <v>#VALUE!</v>
      </c>
      <c r="AB99" s="76" t="e">
        <f t="shared" si="13"/>
        <v>#VALUE!</v>
      </c>
      <c r="AC99" s="76">
        <f t="shared" si="12"/>
        <v>96</v>
      </c>
    </row>
    <row r="100" spans="2:29" x14ac:dyDescent="0.25">
      <c r="B100" s="53" t="str">
        <f t="shared" si="8"/>
        <v/>
      </c>
      <c r="C100" s="55" t="str">
        <f>IF(F99=0,"",'Loan Repayment Input Sheet'!I82)</f>
        <v/>
      </c>
      <c r="D100" s="56">
        <f>'Loan Repayment Input Sheet'!H82</f>
        <v>0</v>
      </c>
      <c r="E100" s="56">
        <f>'Loan Repayment Input Sheet'!G82</f>
        <v>0</v>
      </c>
      <c r="F100" s="56">
        <f>'Loan Repayment Input Sheet'!J82</f>
        <v>0</v>
      </c>
      <c r="S100" s="76">
        <v>99</v>
      </c>
      <c r="Z100" s="76">
        <f t="shared" si="9"/>
        <v>97</v>
      </c>
      <c r="AA100" s="76" t="e">
        <f>IF(COUNTIF($X$4:$X$9,S105)&gt;0,"PAYG Holiday Already Applied",IF(AA99&lt;102,AA99+1,""))</f>
        <v>#VALUE!</v>
      </c>
      <c r="AB100" s="76" t="e">
        <f t="shared" si="13"/>
        <v>#VALUE!</v>
      </c>
      <c r="AC100" s="76">
        <f t="shared" si="12"/>
        <v>97</v>
      </c>
    </row>
    <row r="101" spans="2:29" x14ac:dyDescent="0.25">
      <c r="B101" s="53" t="str">
        <f t="shared" si="8"/>
        <v/>
      </c>
      <c r="C101" s="55" t="str">
        <f>IF(F100=0,"",'Loan Repayment Input Sheet'!I83)</f>
        <v/>
      </c>
      <c r="D101" s="56">
        <f>'Loan Repayment Input Sheet'!H83</f>
        <v>0</v>
      </c>
      <c r="E101" s="56">
        <f>'Loan Repayment Input Sheet'!G83</f>
        <v>0</v>
      </c>
      <c r="F101" s="56">
        <f>'Loan Repayment Input Sheet'!J83</f>
        <v>0</v>
      </c>
      <c r="S101" s="76">
        <v>100</v>
      </c>
      <c r="Z101" s="76">
        <f t="shared" si="9"/>
        <v>98</v>
      </c>
      <c r="AA101" s="76" t="e">
        <f t="shared" ref="AA101:AA105" si="14">IF(COUNTIF($X$4:$X$9,S106)&gt;0,"PAYG Holiday Already Applied",IF(AA100&lt;102,AA100+1,""))</f>
        <v>#VALUE!</v>
      </c>
      <c r="AC101" s="76">
        <f t="shared" si="12"/>
        <v>98</v>
      </c>
    </row>
    <row r="102" spans="2:29" x14ac:dyDescent="0.25">
      <c r="B102" s="53" t="str">
        <f t="shared" si="8"/>
        <v/>
      </c>
      <c r="C102" s="55" t="str">
        <f>IF(F101=0,"",'Loan Repayment Input Sheet'!I84)</f>
        <v/>
      </c>
      <c r="D102" s="56">
        <f>'Loan Repayment Input Sheet'!H84</f>
        <v>0</v>
      </c>
      <c r="E102" s="56">
        <f>'Loan Repayment Input Sheet'!G84</f>
        <v>0</v>
      </c>
      <c r="F102" s="56">
        <f>'Loan Repayment Input Sheet'!J84</f>
        <v>0</v>
      </c>
      <c r="S102" s="76">
        <v>101</v>
      </c>
      <c r="Z102" s="76">
        <f t="shared" si="9"/>
        <v>99</v>
      </c>
      <c r="AA102" s="76" t="e">
        <f t="shared" si="14"/>
        <v>#VALUE!</v>
      </c>
      <c r="AC102" s="76">
        <f t="shared" si="12"/>
        <v>99</v>
      </c>
    </row>
    <row r="103" spans="2:29" x14ac:dyDescent="0.25">
      <c r="B103" s="53" t="str">
        <f t="shared" si="8"/>
        <v/>
      </c>
      <c r="C103" s="55" t="str">
        <f>IF(F102=0,"",'Loan Repayment Input Sheet'!I85)</f>
        <v/>
      </c>
      <c r="D103" s="56">
        <f>'Loan Repayment Input Sheet'!H85</f>
        <v>0</v>
      </c>
      <c r="E103" s="56">
        <f>'Loan Repayment Input Sheet'!G85</f>
        <v>0</v>
      </c>
      <c r="F103" s="56">
        <f>'Loan Repayment Input Sheet'!J85</f>
        <v>0</v>
      </c>
      <c r="S103" s="76">
        <v>102</v>
      </c>
      <c r="Z103" s="76">
        <f t="shared" si="9"/>
        <v>100</v>
      </c>
      <c r="AA103" s="76" t="e">
        <f t="shared" si="14"/>
        <v>#VALUE!</v>
      </c>
      <c r="AC103" s="76">
        <f t="shared" si="12"/>
        <v>100</v>
      </c>
    </row>
    <row r="104" spans="2:29" x14ac:dyDescent="0.25">
      <c r="B104" s="53" t="str">
        <f t="shared" si="8"/>
        <v/>
      </c>
      <c r="C104" s="55" t="str">
        <f>IF(F103=0,"",'Loan Repayment Input Sheet'!I86)</f>
        <v/>
      </c>
      <c r="D104" s="56">
        <f>'Loan Repayment Input Sheet'!H86</f>
        <v>0</v>
      </c>
      <c r="E104" s="56">
        <f>'Loan Repayment Input Sheet'!G86</f>
        <v>0</v>
      </c>
      <c r="F104" s="56">
        <f>'Loan Repayment Input Sheet'!J86</f>
        <v>0</v>
      </c>
      <c r="S104" s="76">
        <v>103</v>
      </c>
      <c r="Z104" s="76">
        <f t="shared" si="9"/>
        <v>101</v>
      </c>
      <c r="AA104" s="76" t="e">
        <f t="shared" si="14"/>
        <v>#VALUE!</v>
      </c>
      <c r="AC104" s="76">
        <f t="shared" si="12"/>
        <v>101</v>
      </c>
    </row>
    <row r="105" spans="2:29" x14ac:dyDescent="0.25">
      <c r="B105" s="53" t="str">
        <f t="shared" ref="B105:B146" si="15">IF(C105="","",S68)</f>
        <v/>
      </c>
      <c r="C105" s="55" t="str">
        <f>IF(F104=0,"",'Loan Repayment Input Sheet'!I87)</f>
        <v/>
      </c>
      <c r="D105" s="56">
        <f>'Loan Repayment Input Sheet'!H87</f>
        <v>0</v>
      </c>
      <c r="E105" s="56">
        <f>'Loan Repayment Input Sheet'!G87</f>
        <v>0</v>
      </c>
      <c r="F105" s="56">
        <f>'Loan Repayment Input Sheet'!J87</f>
        <v>0</v>
      </c>
      <c r="S105" s="76">
        <v>104</v>
      </c>
      <c r="Z105" s="76">
        <f t="shared" si="9"/>
        <v>102</v>
      </c>
      <c r="AA105" s="76" t="e">
        <f t="shared" si="14"/>
        <v>#VALUE!</v>
      </c>
      <c r="AC105" s="76">
        <f t="shared" si="12"/>
        <v>102</v>
      </c>
    </row>
    <row r="106" spans="2:29" x14ac:dyDescent="0.25">
      <c r="B106" s="53" t="str">
        <f t="shared" si="15"/>
        <v/>
      </c>
      <c r="C106" s="55" t="str">
        <f>IF(F105=0,"",'Loan Repayment Input Sheet'!I88)</f>
        <v/>
      </c>
      <c r="D106" s="56">
        <f>'Loan Repayment Input Sheet'!H88</f>
        <v>0</v>
      </c>
      <c r="E106" s="56">
        <f>'Loan Repayment Input Sheet'!G88</f>
        <v>0</v>
      </c>
      <c r="F106" s="56">
        <f>'Loan Repayment Input Sheet'!J88</f>
        <v>0</v>
      </c>
      <c r="S106" s="76">
        <v>105</v>
      </c>
      <c r="Z106" s="76">
        <f t="shared" si="9"/>
        <v>103</v>
      </c>
      <c r="AC106" s="76">
        <f>IF($C$22="NO","",IF(COUNTIF($U$4:$W$9,S104)&gt;0,"PAYG Holiday Already Applied",S104))</f>
        <v>103</v>
      </c>
    </row>
    <row r="107" spans="2:29" x14ac:dyDescent="0.25">
      <c r="B107" s="53" t="str">
        <f t="shared" si="15"/>
        <v/>
      </c>
      <c r="C107" s="55" t="str">
        <f>IF(F106=0,"",'Loan Repayment Input Sheet'!I89)</f>
        <v/>
      </c>
      <c r="D107" s="56">
        <f>'Loan Repayment Input Sheet'!H89</f>
        <v>0</v>
      </c>
      <c r="E107" s="56">
        <f>'Loan Repayment Input Sheet'!G89</f>
        <v>0</v>
      </c>
      <c r="F107" s="56">
        <f>'Loan Repayment Input Sheet'!J89</f>
        <v>0</v>
      </c>
      <c r="S107" s="76">
        <v>106</v>
      </c>
      <c r="Z107" s="76">
        <f>IF($C$12="NO","",IF(COUNTIF($V$4:$X$9,S105)&gt;0,"PAYG Holiday Already Applied",S105))</f>
        <v>104</v>
      </c>
      <c r="AC107" s="76">
        <f t="shared" ref="AC107:AC111" si="16">IF($C$22="NO","",IF(COUNTIF($U$4:$W$9,S105)&gt;0,"PAYG Holiday Already Applied",S105))</f>
        <v>104</v>
      </c>
    </row>
    <row r="108" spans="2:29" x14ac:dyDescent="0.25">
      <c r="B108" s="53" t="str">
        <f t="shared" si="15"/>
        <v/>
      </c>
      <c r="C108" s="55" t="str">
        <f>IF(F107=0,"",'Loan Repayment Input Sheet'!I90)</f>
        <v/>
      </c>
      <c r="D108" s="56">
        <f>'Loan Repayment Input Sheet'!H90</f>
        <v>0</v>
      </c>
      <c r="E108" s="56">
        <f>'Loan Repayment Input Sheet'!G90</f>
        <v>0</v>
      </c>
      <c r="F108" s="56">
        <f>'Loan Repayment Input Sheet'!J90</f>
        <v>0</v>
      </c>
      <c r="S108" s="76">
        <v>107</v>
      </c>
      <c r="Z108" s="76">
        <f t="shared" ref="Z108:Z110" si="17">IF($C$12="NO","",IF(COUNTIF($V$4:$X$9,S106)&gt;0,"PAYG Holiday Already Applied",S106))</f>
        <v>105</v>
      </c>
      <c r="AC108" s="76">
        <f t="shared" si="16"/>
        <v>105</v>
      </c>
    </row>
    <row r="109" spans="2:29" x14ac:dyDescent="0.25">
      <c r="B109" s="53" t="str">
        <f t="shared" si="15"/>
        <v/>
      </c>
      <c r="C109" s="55" t="str">
        <f>IF(F108=0,"",'Loan Repayment Input Sheet'!I91)</f>
        <v/>
      </c>
      <c r="D109" s="56">
        <f>'Loan Repayment Input Sheet'!H91</f>
        <v>0</v>
      </c>
      <c r="E109" s="56">
        <f>'Loan Repayment Input Sheet'!G91</f>
        <v>0</v>
      </c>
      <c r="F109" s="56">
        <f>'Loan Repayment Input Sheet'!J91</f>
        <v>0</v>
      </c>
      <c r="S109" s="76">
        <v>108</v>
      </c>
      <c r="Z109" s="76">
        <f t="shared" si="17"/>
        <v>106</v>
      </c>
      <c r="AC109" s="76">
        <f t="shared" si="16"/>
        <v>106</v>
      </c>
    </row>
    <row r="110" spans="2:29" x14ac:dyDescent="0.25">
      <c r="B110" s="53" t="str">
        <f t="shared" si="15"/>
        <v/>
      </c>
      <c r="C110" s="55" t="str">
        <f>IF(F109=0,"",'Loan Repayment Input Sheet'!I92)</f>
        <v/>
      </c>
      <c r="D110" s="56">
        <f>'Loan Repayment Input Sheet'!H92</f>
        <v>0</v>
      </c>
      <c r="E110" s="56">
        <f>'Loan Repayment Input Sheet'!G92</f>
        <v>0</v>
      </c>
      <c r="F110" s="56">
        <f>'Loan Repayment Input Sheet'!J92</f>
        <v>0</v>
      </c>
      <c r="Z110" s="76">
        <f t="shared" si="17"/>
        <v>107</v>
      </c>
      <c r="AC110" s="76">
        <f t="shared" si="16"/>
        <v>107</v>
      </c>
    </row>
    <row r="111" spans="2:29" x14ac:dyDescent="0.25">
      <c r="B111" s="53" t="str">
        <f t="shared" si="15"/>
        <v/>
      </c>
      <c r="C111" s="55" t="str">
        <f>IF(F110=0,"",'Loan Repayment Input Sheet'!I93)</f>
        <v/>
      </c>
      <c r="D111" s="56">
        <f>'Loan Repayment Input Sheet'!H93</f>
        <v>0</v>
      </c>
      <c r="E111" s="56">
        <f>'Loan Repayment Input Sheet'!G93</f>
        <v>0</v>
      </c>
      <c r="F111" s="56">
        <f>'Loan Repayment Input Sheet'!J93</f>
        <v>0</v>
      </c>
      <c r="Z111" s="76">
        <f>IF($C$12="NO","",IF(COUNTIF($V$4:$X$9,S109)&gt;0,"PAYG Holiday Already Applied",S109))</f>
        <v>108</v>
      </c>
      <c r="AC111" s="76">
        <f t="shared" si="16"/>
        <v>108</v>
      </c>
    </row>
    <row r="112" spans="2:29" x14ac:dyDescent="0.25">
      <c r="B112" s="53" t="str">
        <f t="shared" si="15"/>
        <v/>
      </c>
      <c r="C112" s="55" t="str">
        <f>IF(F111=0,"",'Loan Repayment Input Sheet'!I94)</f>
        <v/>
      </c>
      <c r="D112" s="56">
        <f>'Loan Repayment Input Sheet'!H94</f>
        <v>0</v>
      </c>
      <c r="E112" s="56">
        <f>'Loan Repayment Input Sheet'!G94</f>
        <v>0</v>
      </c>
      <c r="F112" s="56">
        <f>'Loan Repayment Input Sheet'!J94</f>
        <v>0</v>
      </c>
    </row>
    <row r="113" spans="2:6" x14ac:dyDescent="0.25">
      <c r="B113" s="53" t="str">
        <f t="shared" si="15"/>
        <v/>
      </c>
      <c r="C113" s="55" t="str">
        <f>IF(F112=0,"",'Loan Repayment Input Sheet'!I95)</f>
        <v/>
      </c>
      <c r="D113" s="56">
        <f>'Loan Repayment Input Sheet'!H95</f>
        <v>0</v>
      </c>
      <c r="E113" s="56">
        <f>'Loan Repayment Input Sheet'!G95</f>
        <v>0</v>
      </c>
      <c r="F113" s="56">
        <f>'Loan Repayment Input Sheet'!J95</f>
        <v>0</v>
      </c>
    </row>
    <row r="114" spans="2:6" x14ac:dyDescent="0.25">
      <c r="B114" s="53" t="str">
        <f t="shared" si="15"/>
        <v/>
      </c>
      <c r="C114" s="55" t="str">
        <f>IF(F113=0,"",'Loan Repayment Input Sheet'!I96)</f>
        <v/>
      </c>
      <c r="D114" s="56">
        <f>'Loan Repayment Input Sheet'!H96</f>
        <v>0</v>
      </c>
      <c r="E114" s="56">
        <f>'Loan Repayment Input Sheet'!G96</f>
        <v>0</v>
      </c>
      <c r="F114" s="56">
        <f>'Loan Repayment Input Sheet'!J96</f>
        <v>0</v>
      </c>
    </row>
    <row r="115" spans="2:6" x14ac:dyDescent="0.25">
      <c r="B115" s="53" t="str">
        <f t="shared" si="15"/>
        <v/>
      </c>
      <c r="C115" s="55" t="str">
        <f>IF(F114=0,"",'Loan Repayment Input Sheet'!I97)</f>
        <v/>
      </c>
      <c r="D115" s="56">
        <f>'Loan Repayment Input Sheet'!H97</f>
        <v>0</v>
      </c>
      <c r="E115" s="56">
        <f>'Loan Repayment Input Sheet'!G97</f>
        <v>0</v>
      </c>
      <c r="F115" s="56">
        <f>'Loan Repayment Input Sheet'!J97</f>
        <v>0</v>
      </c>
    </row>
    <row r="116" spans="2:6" x14ac:dyDescent="0.25">
      <c r="B116" s="53" t="str">
        <f t="shared" si="15"/>
        <v/>
      </c>
      <c r="C116" s="55" t="str">
        <f>IF(F115=0,"",'Loan Repayment Input Sheet'!I98)</f>
        <v/>
      </c>
      <c r="D116" s="56">
        <f>'Loan Repayment Input Sheet'!H98</f>
        <v>0</v>
      </c>
      <c r="E116" s="56">
        <f>'Loan Repayment Input Sheet'!G98</f>
        <v>0</v>
      </c>
      <c r="F116" s="56">
        <f>'Loan Repayment Input Sheet'!J98</f>
        <v>0</v>
      </c>
    </row>
    <row r="117" spans="2:6" x14ac:dyDescent="0.25">
      <c r="B117" s="53" t="str">
        <f t="shared" si="15"/>
        <v/>
      </c>
      <c r="C117" s="55" t="str">
        <f>IF(F116=0,"",'Loan Repayment Input Sheet'!I99)</f>
        <v/>
      </c>
      <c r="D117" s="56">
        <f>'Loan Repayment Input Sheet'!H99</f>
        <v>0</v>
      </c>
      <c r="E117" s="56">
        <f>'Loan Repayment Input Sheet'!G99</f>
        <v>0</v>
      </c>
      <c r="F117" s="56">
        <f>'Loan Repayment Input Sheet'!J99</f>
        <v>0</v>
      </c>
    </row>
    <row r="118" spans="2:6" x14ac:dyDescent="0.25">
      <c r="B118" s="53" t="str">
        <f t="shared" si="15"/>
        <v/>
      </c>
      <c r="C118" s="55" t="str">
        <f>IF(F117=0,"",'Loan Repayment Input Sheet'!I100)</f>
        <v/>
      </c>
      <c r="D118" s="56">
        <f>'Loan Repayment Input Sheet'!H100</f>
        <v>0</v>
      </c>
      <c r="E118" s="56">
        <f>'Loan Repayment Input Sheet'!G100</f>
        <v>0</v>
      </c>
      <c r="F118" s="56">
        <f>'Loan Repayment Input Sheet'!J100</f>
        <v>0</v>
      </c>
    </row>
    <row r="119" spans="2:6" x14ac:dyDescent="0.25">
      <c r="B119" s="53" t="str">
        <f t="shared" si="15"/>
        <v/>
      </c>
      <c r="C119" s="55" t="str">
        <f>IF(F118=0,"",'Loan Repayment Input Sheet'!I101)</f>
        <v/>
      </c>
      <c r="D119" s="56">
        <f>'Loan Repayment Input Sheet'!H101</f>
        <v>0</v>
      </c>
      <c r="E119" s="56">
        <f>'Loan Repayment Input Sheet'!G101</f>
        <v>0</v>
      </c>
      <c r="F119" s="56">
        <f>'Loan Repayment Input Sheet'!J101</f>
        <v>0</v>
      </c>
    </row>
    <row r="120" spans="2:6" x14ac:dyDescent="0.25">
      <c r="B120" s="53" t="str">
        <f t="shared" si="15"/>
        <v/>
      </c>
      <c r="C120" s="55" t="str">
        <f>IF(F119=0,"",'Loan Repayment Input Sheet'!I102)</f>
        <v/>
      </c>
      <c r="D120" s="56">
        <f>'Loan Repayment Input Sheet'!H102</f>
        <v>0</v>
      </c>
      <c r="E120" s="56">
        <f>'Loan Repayment Input Sheet'!G102</f>
        <v>0</v>
      </c>
      <c r="F120" s="56">
        <f>'Loan Repayment Input Sheet'!J102</f>
        <v>0</v>
      </c>
    </row>
    <row r="121" spans="2:6" x14ac:dyDescent="0.25">
      <c r="B121" s="53" t="str">
        <f t="shared" si="15"/>
        <v/>
      </c>
      <c r="C121" s="55" t="str">
        <f>IF(F120=0,"",'Loan Repayment Input Sheet'!I103)</f>
        <v/>
      </c>
      <c r="D121" s="56">
        <f>'Loan Repayment Input Sheet'!H103</f>
        <v>0</v>
      </c>
      <c r="E121" s="56">
        <f>'Loan Repayment Input Sheet'!G103</f>
        <v>0</v>
      </c>
      <c r="F121" s="56">
        <f>'Loan Repayment Input Sheet'!J103</f>
        <v>0</v>
      </c>
    </row>
    <row r="122" spans="2:6" x14ac:dyDescent="0.25">
      <c r="B122" s="53" t="str">
        <f t="shared" si="15"/>
        <v/>
      </c>
      <c r="C122" s="55" t="str">
        <f>IF(F121=0,"",'Loan Repayment Input Sheet'!I104)</f>
        <v/>
      </c>
      <c r="D122" s="56">
        <f>'Loan Repayment Input Sheet'!H104</f>
        <v>0</v>
      </c>
      <c r="E122" s="56">
        <f>'Loan Repayment Input Sheet'!G104</f>
        <v>0</v>
      </c>
      <c r="F122" s="56">
        <f>'Loan Repayment Input Sheet'!J104</f>
        <v>0</v>
      </c>
    </row>
    <row r="123" spans="2:6" x14ac:dyDescent="0.25">
      <c r="B123" s="53" t="str">
        <f t="shared" si="15"/>
        <v/>
      </c>
      <c r="C123" s="55" t="str">
        <f>IF(F122=0,"",'Loan Repayment Input Sheet'!I105)</f>
        <v/>
      </c>
      <c r="D123" s="56">
        <f>'Loan Repayment Input Sheet'!H105</f>
        <v>0</v>
      </c>
      <c r="E123" s="56">
        <f>'Loan Repayment Input Sheet'!G105</f>
        <v>0</v>
      </c>
      <c r="F123" s="56">
        <f>'Loan Repayment Input Sheet'!J105</f>
        <v>0</v>
      </c>
    </row>
    <row r="124" spans="2:6" x14ac:dyDescent="0.25">
      <c r="B124" s="53" t="str">
        <f t="shared" si="15"/>
        <v/>
      </c>
      <c r="C124" s="55" t="str">
        <f>IF(F123=0,"",'Loan Repayment Input Sheet'!I106)</f>
        <v/>
      </c>
      <c r="D124" s="56">
        <f>'Loan Repayment Input Sheet'!H106</f>
        <v>0</v>
      </c>
      <c r="E124" s="56">
        <f>'Loan Repayment Input Sheet'!G106</f>
        <v>0</v>
      </c>
      <c r="F124" s="56">
        <f>'Loan Repayment Input Sheet'!J106</f>
        <v>0</v>
      </c>
    </row>
    <row r="125" spans="2:6" x14ac:dyDescent="0.25">
      <c r="B125" s="53" t="str">
        <f t="shared" si="15"/>
        <v/>
      </c>
      <c r="C125" s="55" t="str">
        <f>IF(F124=0,"",'Loan Repayment Input Sheet'!I107)</f>
        <v/>
      </c>
      <c r="D125" s="56">
        <f>'Loan Repayment Input Sheet'!H107</f>
        <v>0</v>
      </c>
      <c r="E125" s="56">
        <f>'Loan Repayment Input Sheet'!G107</f>
        <v>0</v>
      </c>
      <c r="F125" s="56">
        <f>'Loan Repayment Input Sheet'!J107</f>
        <v>0</v>
      </c>
    </row>
    <row r="126" spans="2:6" x14ac:dyDescent="0.25">
      <c r="B126" s="53" t="str">
        <f t="shared" si="15"/>
        <v/>
      </c>
      <c r="C126" s="55" t="str">
        <f>IF(F125=0,"",'Loan Repayment Input Sheet'!I108)</f>
        <v/>
      </c>
      <c r="D126" s="56">
        <f>'Loan Repayment Input Sheet'!H108</f>
        <v>0</v>
      </c>
      <c r="E126" s="56">
        <f>'Loan Repayment Input Sheet'!G108</f>
        <v>0</v>
      </c>
      <c r="F126" s="56">
        <f>'Loan Repayment Input Sheet'!J108</f>
        <v>0</v>
      </c>
    </row>
    <row r="127" spans="2:6" x14ac:dyDescent="0.25">
      <c r="B127" s="53" t="str">
        <f t="shared" si="15"/>
        <v/>
      </c>
      <c r="C127" s="55" t="str">
        <f>IF(F126=0,"",'Loan Repayment Input Sheet'!I109)</f>
        <v/>
      </c>
      <c r="D127" s="56">
        <f>'Loan Repayment Input Sheet'!H109</f>
        <v>0</v>
      </c>
      <c r="E127" s="56">
        <f>'Loan Repayment Input Sheet'!G109</f>
        <v>0</v>
      </c>
      <c r="F127" s="56">
        <f>'Loan Repayment Input Sheet'!J109</f>
        <v>0</v>
      </c>
    </row>
    <row r="128" spans="2:6" x14ac:dyDescent="0.25">
      <c r="B128" s="53" t="str">
        <f t="shared" si="15"/>
        <v/>
      </c>
      <c r="C128" s="55" t="str">
        <f>IF(F127=0,"",'Loan Repayment Input Sheet'!I110)</f>
        <v/>
      </c>
      <c r="D128" s="56">
        <f>'Loan Repayment Input Sheet'!H110</f>
        <v>0</v>
      </c>
      <c r="E128" s="56">
        <f>'Loan Repayment Input Sheet'!G110</f>
        <v>0</v>
      </c>
      <c r="F128" s="56">
        <f>'Loan Repayment Input Sheet'!J110</f>
        <v>0</v>
      </c>
    </row>
    <row r="129" spans="2:6" x14ac:dyDescent="0.25">
      <c r="B129" s="53" t="str">
        <f t="shared" si="15"/>
        <v/>
      </c>
      <c r="C129" s="55" t="str">
        <f>IF(F128=0,"",'Loan Repayment Input Sheet'!I111)</f>
        <v/>
      </c>
      <c r="D129" s="56">
        <f>'Loan Repayment Input Sheet'!H111</f>
        <v>0</v>
      </c>
      <c r="E129" s="56">
        <f>'Loan Repayment Input Sheet'!G111</f>
        <v>0</v>
      </c>
      <c r="F129" s="56">
        <f>'Loan Repayment Input Sheet'!J111</f>
        <v>0</v>
      </c>
    </row>
    <row r="130" spans="2:6" x14ac:dyDescent="0.25">
      <c r="B130" s="53" t="str">
        <f t="shared" si="15"/>
        <v/>
      </c>
      <c r="C130" s="55" t="str">
        <f>IF(F129=0,"",'Loan Repayment Input Sheet'!I112)</f>
        <v/>
      </c>
      <c r="D130" s="56">
        <f>'Loan Repayment Input Sheet'!H112</f>
        <v>0</v>
      </c>
      <c r="E130" s="56">
        <f>'Loan Repayment Input Sheet'!G112</f>
        <v>0</v>
      </c>
      <c r="F130" s="56">
        <f>'Loan Repayment Input Sheet'!J112</f>
        <v>0</v>
      </c>
    </row>
    <row r="131" spans="2:6" x14ac:dyDescent="0.25">
      <c r="B131" s="53" t="str">
        <f t="shared" si="15"/>
        <v/>
      </c>
      <c r="C131" s="55" t="str">
        <f>IF(F130=0,"",'Loan Repayment Input Sheet'!I113)</f>
        <v/>
      </c>
      <c r="D131" s="56">
        <f>'Loan Repayment Input Sheet'!H113</f>
        <v>0</v>
      </c>
      <c r="E131" s="56">
        <f>'Loan Repayment Input Sheet'!G113</f>
        <v>0</v>
      </c>
      <c r="F131" s="56">
        <f>'Loan Repayment Input Sheet'!J113</f>
        <v>0</v>
      </c>
    </row>
    <row r="132" spans="2:6" x14ac:dyDescent="0.25">
      <c r="B132" s="53" t="str">
        <f t="shared" si="15"/>
        <v/>
      </c>
      <c r="C132" s="55" t="str">
        <f>IF(F131=0,"",'Loan Repayment Input Sheet'!I114)</f>
        <v/>
      </c>
      <c r="D132" s="56">
        <f>'Loan Repayment Input Sheet'!H114</f>
        <v>0</v>
      </c>
      <c r="E132" s="56">
        <f>'Loan Repayment Input Sheet'!G114</f>
        <v>0</v>
      </c>
      <c r="F132" s="56">
        <f>'Loan Repayment Input Sheet'!J114</f>
        <v>0</v>
      </c>
    </row>
    <row r="133" spans="2:6" x14ac:dyDescent="0.25">
      <c r="B133" s="53" t="str">
        <f t="shared" si="15"/>
        <v/>
      </c>
      <c r="C133" s="55" t="str">
        <f>IF(F132=0,"",'Loan Repayment Input Sheet'!I115)</f>
        <v/>
      </c>
      <c r="D133" s="56">
        <f>'Loan Repayment Input Sheet'!H115</f>
        <v>0</v>
      </c>
      <c r="E133" s="56">
        <f>'Loan Repayment Input Sheet'!G115</f>
        <v>0</v>
      </c>
      <c r="F133" s="56">
        <f>'Loan Repayment Input Sheet'!J115</f>
        <v>0</v>
      </c>
    </row>
    <row r="134" spans="2:6" x14ac:dyDescent="0.25">
      <c r="B134" s="53" t="str">
        <f t="shared" si="15"/>
        <v/>
      </c>
      <c r="C134" s="55" t="str">
        <f>IF(F133=0,"",'Loan Repayment Input Sheet'!I116)</f>
        <v/>
      </c>
      <c r="D134" s="56">
        <f>'Loan Repayment Input Sheet'!H116</f>
        <v>0</v>
      </c>
      <c r="E134" s="56">
        <f>'Loan Repayment Input Sheet'!G116</f>
        <v>0</v>
      </c>
      <c r="F134" s="56">
        <f>'Loan Repayment Input Sheet'!J116</f>
        <v>0</v>
      </c>
    </row>
    <row r="135" spans="2:6" x14ac:dyDescent="0.25">
      <c r="B135" s="53" t="str">
        <f t="shared" si="15"/>
        <v/>
      </c>
      <c r="C135" s="55" t="str">
        <f>IF(F134=0,"",'Loan Repayment Input Sheet'!I117)</f>
        <v/>
      </c>
      <c r="D135" s="56">
        <f>'Loan Repayment Input Sheet'!H117</f>
        <v>0</v>
      </c>
      <c r="E135" s="56">
        <f>'Loan Repayment Input Sheet'!G117</f>
        <v>0</v>
      </c>
      <c r="F135" s="56">
        <f>'Loan Repayment Input Sheet'!J117</f>
        <v>0</v>
      </c>
    </row>
    <row r="136" spans="2:6" x14ac:dyDescent="0.25">
      <c r="B136" s="53" t="str">
        <f t="shared" si="15"/>
        <v/>
      </c>
      <c r="C136" s="55" t="str">
        <f>IF(F135=0,"",'Loan Repayment Input Sheet'!I118)</f>
        <v/>
      </c>
      <c r="D136" s="56">
        <f>'Loan Repayment Input Sheet'!H118</f>
        <v>0</v>
      </c>
      <c r="E136" s="56">
        <f>'Loan Repayment Input Sheet'!G118</f>
        <v>0</v>
      </c>
      <c r="F136" s="56">
        <f>'Loan Repayment Input Sheet'!J118</f>
        <v>0</v>
      </c>
    </row>
    <row r="137" spans="2:6" x14ac:dyDescent="0.25">
      <c r="B137" s="53" t="str">
        <f t="shared" si="15"/>
        <v/>
      </c>
      <c r="C137" s="55" t="str">
        <f>IF(F136=0,"",'Loan Repayment Input Sheet'!I119)</f>
        <v/>
      </c>
      <c r="D137" s="56">
        <f>'Loan Repayment Input Sheet'!H119</f>
        <v>0</v>
      </c>
      <c r="E137" s="56">
        <f>'Loan Repayment Input Sheet'!G119</f>
        <v>0</v>
      </c>
      <c r="F137" s="56">
        <f>'Loan Repayment Input Sheet'!J119</f>
        <v>0</v>
      </c>
    </row>
    <row r="138" spans="2:6" x14ac:dyDescent="0.25">
      <c r="B138" s="53" t="str">
        <f t="shared" si="15"/>
        <v/>
      </c>
      <c r="C138" s="55" t="str">
        <f>IF(F137=0,"",'Loan Repayment Input Sheet'!I120)</f>
        <v/>
      </c>
      <c r="D138" s="56">
        <f>'Loan Repayment Input Sheet'!H120</f>
        <v>0</v>
      </c>
      <c r="E138" s="56">
        <f>'Loan Repayment Input Sheet'!G120</f>
        <v>0</v>
      </c>
      <c r="F138" s="56">
        <f>'Loan Repayment Input Sheet'!J120</f>
        <v>0</v>
      </c>
    </row>
    <row r="139" spans="2:6" x14ac:dyDescent="0.25">
      <c r="B139" s="53" t="str">
        <f t="shared" si="15"/>
        <v/>
      </c>
      <c r="C139" s="55" t="str">
        <f>IF(F138=0,"",'Loan Repayment Input Sheet'!I121)</f>
        <v/>
      </c>
      <c r="D139" s="56">
        <f>'Loan Repayment Input Sheet'!H121</f>
        <v>0</v>
      </c>
      <c r="E139" s="56">
        <f>'Loan Repayment Input Sheet'!G121</f>
        <v>0</v>
      </c>
      <c r="F139" s="56">
        <f>'Loan Repayment Input Sheet'!J121</f>
        <v>0</v>
      </c>
    </row>
    <row r="140" spans="2:6" x14ac:dyDescent="0.25">
      <c r="B140" s="53" t="str">
        <f t="shared" si="15"/>
        <v/>
      </c>
      <c r="C140" s="55" t="str">
        <f>IF(F139=0,"",'Loan Repayment Input Sheet'!I122)</f>
        <v/>
      </c>
      <c r="D140" s="56">
        <f>'Loan Repayment Input Sheet'!H122</f>
        <v>0</v>
      </c>
      <c r="E140" s="56">
        <f>'Loan Repayment Input Sheet'!G122</f>
        <v>0</v>
      </c>
      <c r="F140" s="56">
        <f>'Loan Repayment Input Sheet'!J122</f>
        <v>0</v>
      </c>
    </row>
    <row r="141" spans="2:6" x14ac:dyDescent="0.25">
      <c r="B141" s="53" t="str">
        <f t="shared" si="15"/>
        <v/>
      </c>
      <c r="C141" s="55" t="str">
        <f>IF(F140=0,"",'Loan Repayment Input Sheet'!I123)</f>
        <v/>
      </c>
      <c r="D141" s="56">
        <f>'Loan Repayment Input Sheet'!H123</f>
        <v>0</v>
      </c>
      <c r="E141" s="56">
        <f>'Loan Repayment Input Sheet'!G123</f>
        <v>0</v>
      </c>
      <c r="F141" s="56">
        <f>'Loan Repayment Input Sheet'!J123</f>
        <v>0</v>
      </c>
    </row>
    <row r="142" spans="2:6" x14ac:dyDescent="0.25">
      <c r="B142" s="53" t="str">
        <f t="shared" si="15"/>
        <v/>
      </c>
      <c r="C142" s="55" t="str">
        <f>IF(F141=0,"",'Loan Repayment Input Sheet'!I124)</f>
        <v/>
      </c>
      <c r="D142" s="56">
        <f>'Loan Repayment Input Sheet'!H124</f>
        <v>0</v>
      </c>
      <c r="E142" s="56">
        <f>'Loan Repayment Input Sheet'!G124</f>
        <v>0</v>
      </c>
      <c r="F142" s="56">
        <f>'Loan Repayment Input Sheet'!J124</f>
        <v>0</v>
      </c>
    </row>
    <row r="143" spans="2:6" x14ac:dyDescent="0.25">
      <c r="B143" s="53" t="str">
        <f t="shared" si="15"/>
        <v/>
      </c>
      <c r="C143" s="55" t="str">
        <f>IF(F142=0,"",'Loan Repayment Input Sheet'!I125)</f>
        <v/>
      </c>
      <c r="D143" s="56">
        <f>'Loan Repayment Input Sheet'!H125</f>
        <v>0</v>
      </c>
      <c r="E143" s="56">
        <f>'Loan Repayment Input Sheet'!G125</f>
        <v>0</v>
      </c>
      <c r="F143" s="56">
        <f>'Loan Repayment Input Sheet'!J125</f>
        <v>0</v>
      </c>
    </row>
    <row r="144" spans="2:6" x14ac:dyDescent="0.25">
      <c r="B144" s="53" t="str">
        <f t="shared" si="15"/>
        <v/>
      </c>
      <c r="C144" s="55" t="str">
        <f>IF(F143=0,"",'Loan Repayment Input Sheet'!I126)</f>
        <v/>
      </c>
      <c r="D144" s="56">
        <f>'Loan Repayment Input Sheet'!H126</f>
        <v>0</v>
      </c>
      <c r="E144" s="56">
        <f>'Loan Repayment Input Sheet'!G126</f>
        <v>0</v>
      </c>
      <c r="F144" s="56">
        <f>'Loan Repayment Input Sheet'!J126</f>
        <v>0</v>
      </c>
    </row>
    <row r="145" spans="2:6" x14ac:dyDescent="0.25">
      <c r="B145" s="53" t="str">
        <f t="shared" si="15"/>
        <v/>
      </c>
      <c r="C145" s="55" t="str">
        <f>IF(F144=0,"",'Loan Repayment Input Sheet'!I127)</f>
        <v/>
      </c>
      <c r="D145" s="56">
        <f>'Loan Repayment Input Sheet'!H127</f>
        <v>0</v>
      </c>
      <c r="E145" s="56">
        <f>'Loan Repayment Input Sheet'!G127</f>
        <v>0</v>
      </c>
      <c r="F145" s="56">
        <f>'Loan Repayment Input Sheet'!J127</f>
        <v>0</v>
      </c>
    </row>
    <row r="146" spans="2:6" x14ac:dyDescent="0.25">
      <c r="B146" s="53" t="str">
        <f t="shared" si="15"/>
        <v/>
      </c>
      <c r="C146" s="55" t="str">
        <f>IF(F145=0,"",'Loan Repayment Input Sheet'!I128)</f>
        <v/>
      </c>
      <c r="D146" s="56">
        <f>'Loan Repayment Input Sheet'!H128</f>
        <v>0</v>
      </c>
      <c r="E146" s="56">
        <f>'Loan Repayment Input Sheet'!G128</f>
        <v>0</v>
      </c>
      <c r="F146" s="56">
        <f>'Loan Repayment Input Sheet'!J128</f>
        <v>0</v>
      </c>
    </row>
    <row r="147" spans="2:6" x14ac:dyDescent="0.25">
      <c r="B147" s="74"/>
      <c r="C147" s="75"/>
      <c r="D147" s="75"/>
      <c r="E147" s="75"/>
      <c r="F147" s="75"/>
    </row>
    <row r="148" spans="2:6" hidden="1" x14ac:dyDescent="0.25"/>
    <row r="149" spans="2:6" hidden="1" x14ac:dyDescent="0.25"/>
    <row r="150" spans="2:6" hidden="1" x14ac:dyDescent="0.25"/>
    <row r="151" spans="2:6" hidden="1" x14ac:dyDescent="0.25"/>
  </sheetData>
  <sheetProtection password="C893" sheet="1" objects="1" scenarios="1"/>
  <mergeCells count="7">
    <mergeCell ref="B36:F36"/>
    <mergeCell ref="B30:C30"/>
    <mergeCell ref="B1:F1"/>
    <mergeCell ref="B5:F5"/>
    <mergeCell ref="B2:F2"/>
    <mergeCell ref="B3:F3"/>
    <mergeCell ref="B4:F4"/>
  </mergeCells>
  <conditionalFormatting sqref="C13:C15">
    <cfRule type="expression" dxfId="6" priority="4">
      <formula>$C$12="Yes"</formula>
    </cfRule>
  </conditionalFormatting>
  <conditionalFormatting sqref="C16:C18">
    <cfRule type="expression" dxfId="5" priority="3">
      <formula>$C$15="Yes"</formula>
    </cfRule>
  </conditionalFormatting>
  <conditionalFormatting sqref="C19:C20">
    <cfRule type="expression" dxfId="4" priority="2">
      <formula>$C$18="Yes"</formula>
    </cfRule>
  </conditionalFormatting>
  <conditionalFormatting sqref="C23:C24">
    <cfRule type="expression" dxfId="3" priority="1">
      <formula>$C$22="Yes"</formula>
    </cfRule>
  </conditionalFormatting>
  <dataValidations count="6">
    <dataValidation type="list" allowBlank="1" showInputMessage="1" showErrorMessage="1" sqref="C26 C24 C22 C20 C17:C18 C14:C15 C12">
      <formula1>$R$4:$R$5</formula1>
    </dataValidation>
    <dataValidation type="whole" errorStyle="information" allowBlank="1" showInputMessage="1" showErrorMessage="1" errorTitle="Invalid Bounce Back Loan Amount" error="Please insert the total value of your Bounce Back Loan" sqref="C8">
      <formula1>2000</formula1>
      <formula2>50000</formula2>
    </dataValidation>
    <dataValidation type="list" allowBlank="1" showInputMessage="1" showErrorMessage="1" sqref="C13">
      <formula1>$Z$4:$Z$100</formula1>
    </dataValidation>
    <dataValidation type="list" allowBlank="1" showInputMessage="1" showErrorMessage="1" sqref="C16">
      <formula1>$AA$4:$AA$94</formula1>
    </dataValidation>
    <dataValidation type="list" allowBlank="1" showInputMessage="1" showErrorMessage="1" sqref="C19">
      <formula1>$AB$4:$AB$88</formula1>
    </dataValidation>
    <dataValidation type="list" allowBlank="1" showInputMessage="1" showErrorMessage="1" sqref="C23">
      <formula1>$AC$4:$AC$100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2:Q384"/>
  <sheetViews>
    <sheetView showGridLines="0" zoomScale="90" zoomScaleNormal="90" workbookViewId="0">
      <selection activeCell="F45" sqref="F45"/>
    </sheetView>
  </sheetViews>
  <sheetFormatPr defaultColWidth="9.125" defaultRowHeight="12.9" x14ac:dyDescent="0.2"/>
  <cols>
    <col min="1" max="1" width="5.875" style="1" customWidth="1"/>
    <col min="2" max="2" width="8.5" style="1" customWidth="1"/>
    <col min="3" max="3" width="11" style="2" customWidth="1"/>
    <col min="4" max="4" width="14.25" style="2" customWidth="1"/>
    <col min="5" max="5" width="15.125" style="2" customWidth="1"/>
    <col min="6" max="6" width="9.5" style="2" customWidth="1"/>
    <col min="7" max="7" width="10.75" style="2" customWidth="1"/>
    <col min="8" max="8" width="11.25" style="2" customWidth="1"/>
    <col min="9" max="9" width="10.75" style="2" customWidth="1"/>
    <col min="10" max="10" width="15.75" style="2" customWidth="1"/>
    <col min="11" max="14" width="10.75" style="2" customWidth="1"/>
    <col min="15" max="15" width="11.5" style="2" customWidth="1"/>
    <col min="16" max="16" width="9.125" style="2"/>
    <col min="17" max="17" width="14" style="2" bestFit="1" customWidth="1"/>
    <col min="18" max="16384" width="9.125" style="2"/>
  </cols>
  <sheetData>
    <row r="2" spans="2:15" x14ac:dyDescent="0.2">
      <c r="G2" s="3" t="s">
        <v>1</v>
      </c>
      <c r="H2" s="20">
        <f>'PAYG INDICATIVE OPTIONS'!C8</f>
        <v>0</v>
      </c>
    </row>
    <row r="3" spans="2:15" ht="5.95" customHeight="1" x14ac:dyDescent="0.2">
      <c r="G3" s="3"/>
      <c r="H3" s="1"/>
    </row>
    <row r="4" spans="2:15" x14ac:dyDescent="0.2">
      <c r="G4" s="3" t="s">
        <v>16</v>
      </c>
      <c r="H4" s="21">
        <f>INDEX(C21:C128,MATCH('PAYG INDICATIVE OPTIONS'!C31,'Loan Repayment Input Sheet'!B21:B128,0))</f>
        <v>46295</v>
      </c>
      <c r="L4" s="4" t="s">
        <v>8</v>
      </c>
      <c r="M4" s="22">
        <f ca="1">(YEAR(H4)-YEAR(TODAY()))*12+MONTH(H4)-MONTH(TODAY())</f>
        <v>56</v>
      </c>
    </row>
    <row r="5" spans="2:15" x14ac:dyDescent="0.2">
      <c r="G5" s="32" t="s">
        <v>17</v>
      </c>
      <c r="H5" s="21">
        <v>44470</v>
      </c>
      <c r="L5" s="32" t="s">
        <v>19</v>
      </c>
      <c r="M5" s="23">
        <f>IF(H6="monthly",12,IF(H6="Quarterly",4,""))</f>
        <v>12</v>
      </c>
    </row>
    <row r="6" spans="2:15" x14ac:dyDescent="0.2">
      <c r="G6" s="4" t="s">
        <v>9</v>
      </c>
      <c r="H6" s="18" t="s">
        <v>12</v>
      </c>
      <c r="L6" s="3" t="s">
        <v>20</v>
      </c>
      <c r="M6" s="24">
        <f>((YEAR(H4)-YEAR(H5))*12+MONTH(H4)-MONTH(H5))/12*M5+1</f>
        <v>60</v>
      </c>
    </row>
    <row r="7" spans="2:15" ht="5.95" customHeight="1" x14ac:dyDescent="0.2">
      <c r="H7" s="1"/>
      <c r="L7" s="4"/>
      <c r="M7" s="1"/>
    </row>
    <row r="8" spans="2:15" x14ac:dyDescent="0.2">
      <c r="G8" s="19" t="s">
        <v>11</v>
      </c>
      <c r="H8" s="18">
        <v>2.5000000000000001E-2</v>
      </c>
      <c r="L8" s="32" t="s">
        <v>21</v>
      </c>
      <c r="M8" s="25">
        <f>H9+H8</f>
        <v>2.5000000000000001E-2</v>
      </c>
    </row>
    <row r="9" spans="2:15" x14ac:dyDescent="0.2">
      <c r="G9" s="32" t="s">
        <v>18</v>
      </c>
      <c r="H9" s="28">
        <v>0</v>
      </c>
      <c r="K9" s="33"/>
      <c r="L9" s="43"/>
      <c r="M9" s="36"/>
    </row>
    <row r="10" spans="2:15" x14ac:dyDescent="0.2">
      <c r="F10" s="34"/>
      <c r="G10" s="35"/>
      <c r="H10" s="36"/>
      <c r="I10" s="34"/>
      <c r="J10" s="34"/>
      <c r="K10" s="33"/>
      <c r="L10" s="43"/>
      <c r="M10" s="36"/>
    </row>
    <row r="11" spans="2:15" x14ac:dyDescent="0.2">
      <c r="F11" s="34"/>
      <c r="G11" s="35"/>
      <c r="H11" s="37"/>
      <c r="I11" s="34"/>
      <c r="J11" s="34"/>
    </row>
    <row r="12" spans="2:15" x14ac:dyDescent="0.2">
      <c r="F12" s="34"/>
      <c r="G12" s="38"/>
      <c r="H12" s="36"/>
      <c r="I12" s="34"/>
      <c r="J12" s="34"/>
      <c r="N12" s="5"/>
    </row>
    <row r="13" spans="2:15" ht="5.95" customHeight="1" x14ac:dyDescent="0.2">
      <c r="F13" s="34"/>
      <c r="G13" s="34"/>
      <c r="H13" s="39"/>
      <c r="I13" s="34"/>
      <c r="J13" s="34"/>
    </row>
    <row r="14" spans="2:15" x14ac:dyDescent="0.2">
      <c r="F14" s="34"/>
      <c r="G14" s="35"/>
      <c r="H14" s="40"/>
      <c r="I14" s="40"/>
      <c r="J14" s="34"/>
      <c r="L14" s="3" t="s">
        <v>22</v>
      </c>
      <c r="M14" s="26">
        <f>IF(OR(H10="No",H10=""),ABS(PMT(M8/M5,M6,H2)),ABS(PMT(H12/M5,M6,H2)))</f>
        <v>0</v>
      </c>
      <c r="N14" s="6">
        <f>M14*$M$5</f>
        <v>0</v>
      </c>
      <c r="O14" s="2" t="s">
        <v>3</v>
      </c>
    </row>
    <row r="15" spans="2:15" x14ac:dyDescent="0.2">
      <c r="F15" s="34"/>
      <c r="G15" s="35"/>
      <c r="H15" s="40"/>
      <c r="I15" s="34"/>
      <c r="J15" s="34"/>
      <c r="L15" s="19"/>
      <c r="M15" s="40"/>
      <c r="N15" s="42"/>
      <c r="O15" s="5"/>
    </row>
    <row r="16" spans="2:15" x14ac:dyDescent="0.2">
      <c r="B16" s="107" t="str">
        <f>IF(H6="Monthly","Average of first 12 months capital repayment", "Average of first 4 quarterly repayment")</f>
        <v>Average of first 12 months capital repayment</v>
      </c>
      <c r="C16" s="107"/>
      <c r="D16" s="107"/>
      <c r="E16" s="107"/>
      <c r="F16" s="107"/>
      <c r="G16" s="108"/>
      <c r="H16" s="30" t="e">
        <f>IF(H6="Monthly",AVERAGEIF(H21:H32,"&gt;0",H21:H32),AVERAGEIF(H21:H24,"&gt;0",H21:H24))</f>
        <v>#DIV/0!</v>
      </c>
      <c r="I16" s="7"/>
    </row>
    <row r="17" spans="1:17" x14ac:dyDescent="0.2">
      <c r="B17" s="114" t="str">
        <f>IF(H6="Monthly","Total of first 12 months interest", "Total of first 4 quarters interest")</f>
        <v>Total of first 12 months interest</v>
      </c>
      <c r="C17" s="114"/>
      <c r="D17" s="114"/>
      <c r="E17" s="114"/>
      <c r="F17" s="114"/>
      <c r="G17" s="114"/>
      <c r="H17" s="31">
        <f>IF(H6="Monthly",SUM(G21:G32),SUM(G21:G24))</f>
        <v>0</v>
      </c>
      <c r="I17" s="4"/>
      <c r="J17" s="7"/>
    </row>
    <row r="18" spans="1:17" ht="13.6" x14ac:dyDescent="0.2">
      <c r="A18" s="8">
        <f>IF(H6="Monthly",1,IF(H6="Quarterly",3,""))</f>
        <v>1</v>
      </c>
      <c r="B18" s="8"/>
      <c r="G18" s="109" t="s">
        <v>7</v>
      </c>
      <c r="H18" s="110"/>
      <c r="I18" s="110"/>
      <c r="J18" s="111"/>
      <c r="K18" s="106"/>
      <c r="L18" s="106"/>
      <c r="M18" s="106"/>
      <c r="N18" s="106"/>
    </row>
    <row r="19" spans="1:17" ht="12.6" customHeight="1" x14ac:dyDescent="0.2">
      <c r="C19" s="9" t="s">
        <v>2</v>
      </c>
      <c r="D19" s="112" t="s">
        <v>13</v>
      </c>
      <c r="E19" s="112" t="s">
        <v>14</v>
      </c>
      <c r="F19" s="116" t="s">
        <v>15</v>
      </c>
      <c r="G19" s="10" t="s">
        <v>0</v>
      </c>
      <c r="H19" s="10" t="s">
        <v>5</v>
      </c>
      <c r="I19" s="10" t="s">
        <v>6</v>
      </c>
      <c r="J19" s="10" t="s">
        <v>1</v>
      </c>
      <c r="K19" s="39"/>
      <c r="L19" s="39"/>
      <c r="M19" s="39"/>
      <c r="N19" s="39"/>
    </row>
    <row r="20" spans="1:17" x14ac:dyDescent="0.2">
      <c r="A20" s="1" t="s">
        <v>4</v>
      </c>
      <c r="B20" s="1" t="s">
        <v>6</v>
      </c>
      <c r="C20" s="11" t="s">
        <v>10</v>
      </c>
      <c r="D20" s="113"/>
      <c r="E20" s="115"/>
      <c r="F20" s="117"/>
      <c r="G20" s="10"/>
      <c r="H20" s="10"/>
      <c r="I20" s="10"/>
      <c r="J20" s="12">
        <f>H2</f>
        <v>0</v>
      </c>
      <c r="K20" s="39"/>
      <c r="L20" s="39"/>
      <c r="M20" s="39"/>
      <c r="N20" s="41"/>
    </row>
    <row r="21" spans="1:17" x14ac:dyDescent="0.2">
      <c r="A21" s="1">
        <v>1</v>
      </c>
      <c r="B21" s="1">
        <v>1</v>
      </c>
      <c r="C21" s="13">
        <f>EOMONTH(H5,0)</f>
        <v>44500</v>
      </c>
      <c r="D21" s="46" t="str">
        <f>IF(COUNTIFS('PAYG INDICATIVE OPTIONS'!$U$4:$X$9,'Loan Repayment Input Sheet'!B21)&gt;0,0,"")</f>
        <v/>
      </c>
      <c r="E21" s="27" t="str">
        <f>IF(COUNTIFS('PAYG INDICATIVE OPTIONS'!$X$4:$X$9,'Loan Repayment Input Sheet'!B21)&gt;0,0,"")</f>
        <v/>
      </c>
      <c r="F21" s="44">
        <f t="shared" ref="F21:F84" si="0">IF(AND($H$10="Yes",$C21&lt;$H$11),J20*$H$12/$M$5,J20*$M$8/$M$5)</f>
        <v>0</v>
      </c>
      <c r="G21" s="29">
        <f t="shared" ref="G21:G84" si="1">IF(E21="",IF(AND($H$10="Yes",$C21&lt;$H$11),J20*$H$12/$M$5,J20*$M$8/$M$5),E21)</f>
        <v>0</v>
      </c>
      <c r="H21" s="29">
        <f>IF(D21="",I21-G21,D21)</f>
        <v>0</v>
      </c>
      <c r="I21" s="29">
        <f>IF(D21&lt;&gt;"",D21+G21,IF($H$14&lt;&gt;"",$H$14,IF($H$15&lt;&gt;"",$H$15+G21,$M$14)))</f>
        <v>0</v>
      </c>
      <c r="J21" s="29">
        <f>J20-(I21-F21)</f>
        <v>0</v>
      </c>
      <c r="K21" s="41"/>
      <c r="L21" s="41"/>
      <c r="M21" s="41"/>
      <c r="N21" s="41"/>
      <c r="Q21" s="14"/>
    </row>
    <row r="22" spans="1:17" x14ac:dyDescent="0.2">
      <c r="B22" s="1">
        <v>2</v>
      </c>
      <c r="C22" s="13">
        <f t="shared" ref="C22:C80" si="2">EOMONTH(C21,$A$18)</f>
        <v>44530</v>
      </c>
      <c r="D22" s="46" t="str">
        <f>IF(COUNTIFS('PAYG INDICATIVE OPTIONS'!$U$4:$X$9,'Loan Repayment Input Sheet'!B22)&gt;0,0,"")</f>
        <v/>
      </c>
      <c r="E22" s="27" t="str">
        <f>IF(COUNTIFS('PAYG INDICATIVE OPTIONS'!$X$4:$X$9,'Loan Repayment Input Sheet'!B22)&gt;0,0,"")</f>
        <v/>
      </c>
      <c r="F22" s="44">
        <f t="shared" si="0"/>
        <v>0</v>
      </c>
      <c r="G22" s="29">
        <f t="shared" si="1"/>
        <v>0</v>
      </c>
      <c r="H22" s="29">
        <f t="shared" ref="H22:H85" si="3">IF(D22="",I22-G22,D22)</f>
        <v>0</v>
      </c>
      <c r="I22" s="29">
        <f t="shared" ref="I22:I85" si="4">IF(D22&lt;&gt;"",
D22+G22,
IF($H$14&lt;&gt;"",
$H$14,
IF($H$15&lt;&gt;"",
$H$15+G22,
IF(AND($H$10="Yes",$C22&lt;$H$11),
IF(ISERROR(ABS(PMT($H$12/$M$5,$M$6-B21,J21))),0,ABS(PMT($H$12/$M$5,$M$6-B21,J21))),
IF(ISERROR(ABS(PMT($M$8/$M$5,$M$6-B21,J21))),0,ABS(PMT($M$8/$M$5,$M$6-B21,J21)))))))</f>
        <v>0</v>
      </c>
      <c r="J22" s="29">
        <f t="shared" ref="J22:J85" si="5">J21-(I22-F22)</f>
        <v>0</v>
      </c>
      <c r="K22" s="41"/>
      <c r="L22" s="41"/>
      <c r="M22" s="41"/>
      <c r="N22" s="41"/>
      <c r="Q22" s="14"/>
    </row>
    <row r="23" spans="1:17" x14ac:dyDescent="0.2">
      <c r="B23" s="1">
        <v>3</v>
      </c>
      <c r="C23" s="13">
        <f t="shared" si="2"/>
        <v>44561</v>
      </c>
      <c r="D23" s="46" t="str">
        <f>IF(COUNTIFS('PAYG INDICATIVE OPTIONS'!$U$4:$X$9,'Loan Repayment Input Sheet'!B23)&gt;0,0,"")</f>
        <v/>
      </c>
      <c r="E23" s="27" t="str">
        <f>IF(COUNTIFS('PAYG INDICATIVE OPTIONS'!$X$4:$X$9,'Loan Repayment Input Sheet'!B23)&gt;0,0,"")</f>
        <v/>
      </c>
      <c r="F23" s="44">
        <f t="shared" si="0"/>
        <v>0</v>
      </c>
      <c r="G23" s="29">
        <f t="shared" si="1"/>
        <v>0</v>
      </c>
      <c r="H23" s="29">
        <f t="shared" si="3"/>
        <v>0</v>
      </c>
      <c r="I23" s="29">
        <f t="shared" si="4"/>
        <v>0</v>
      </c>
      <c r="J23" s="29">
        <f t="shared" si="5"/>
        <v>0</v>
      </c>
      <c r="K23" s="41"/>
      <c r="L23" s="41"/>
      <c r="M23" s="41"/>
      <c r="N23" s="41"/>
      <c r="Q23" s="14"/>
    </row>
    <row r="24" spans="1:17" x14ac:dyDescent="0.2">
      <c r="B24" s="1">
        <v>4</v>
      </c>
      <c r="C24" s="13">
        <f t="shared" si="2"/>
        <v>44592</v>
      </c>
      <c r="D24" s="46" t="str">
        <f>IF(COUNTIFS('PAYG INDICATIVE OPTIONS'!$U$4:$X$9,'Loan Repayment Input Sheet'!B24)&gt;0,0,"")</f>
        <v/>
      </c>
      <c r="E24" s="27" t="str">
        <f>IF(COUNTIFS('PAYG INDICATIVE OPTIONS'!$X$4:$X$9,'Loan Repayment Input Sheet'!B24)&gt;0,0,"")</f>
        <v/>
      </c>
      <c r="F24" s="44">
        <f t="shared" si="0"/>
        <v>0</v>
      </c>
      <c r="G24" s="29">
        <f t="shared" si="1"/>
        <v>0</v>
      </c>
      <c r="H24" s="29">
        <f t="shared" si="3"/>
        <v>0</v>
      </c>
      <c r="I24" s="29">
        <f t="shared" si="4"/>
        <v>0</v>
      </c>
      <c r="J24" s="29">
        <f t="shared" si="5"/>
        <v>0</v>
      </c>
      <c r="K24" s="41"/>
      <c r="L24" s="41"/>
      <c r="M24" s="41"/>
      <c r="N24" s="41"/>
      <c r="Q24" s="14"/>
    </row>
    <row r="25" spans="1:17" x14ac:dyDescent="0.2">
      <c r="A25" s="15" t="str">
        <f>IF($A$18=1,"",IF($A$18=3,2))</f>
        <v/>
      </c>
      <c r="B25" s="1">
        <v>5</v>
      </c>
      <c r="C25" s="13">
        <f t="shared" si="2"/>
        <v>44620</v>
      </c>
      <c r="D25" s="46" t="str">
        <f>IF(COUNTIFS('PAYG INDICATIVE OPTIONS'!$U$4:$X$9,'Loan Repayment Input Sheet'!B25)&gt;0,0,"")</f>
        <v/>
      </c>
      <c r="E25" s="27" t="str">
        <f>IF(COUNTIFS('PAYG INDICATIVE OPTIONS'!$X$4:$X$9,'Loan Repayment Input Sheet'!B25)&gt;0,0,"")</f>
        <v/>
      </c>
      <c r="F25" s="44">
        <f t="shared" si="0"/>
        <v>0</v>
      </c>
      <c r="G25" s="29">
        <f t="shared" si="1"/>
        <v>0</v>
      </c>
      <c r="H25" s="29">
        <f>IF(D25="",I25-G25,D25)</f>
        <v>0</v>
      </c>
      <c r="I25" s="29">
        <f t="shared" si="4"/>
        <v>0</v>
      </c>
      <c r="J25" s="29">
        <f t="shared" si="5"/>
        <v>0</v>
      </c>
      <c r="K25" s="41"/>
      <c r="L25" s="41"/>
      <c r="M25" s="41"/>
      <c r="N25" s="41"/>
      <c r="Q25" s="14"/>
    </row>
    <row r="26" spans="1:17" x14ac:dyDescent="0.2">
      <c r="B26" s="1">
        <v>6</v>
      </c>
      <c r="C26" s="13">
        <f t="shared" si="2"/>
        <v>44651</v>
      </c>
      <c r="D26" s="46" t="str">
        <f>IF(COUNTIFS('PAYG INDICATIVE OPTIONS'!$U$4:$X$9,'Loan Repayment Input Sheet'!B26)&gt;0,0,"")</f>
        <v/>
      </c>
      <c r="E26" s="27" t="str">
        <f>IF(COUNTIFS('PAYG INDICATIVE OPTIONS'!$X$4:$X$9,'Loan Repayment Input Sheet'!B26)&gt;0,0,"")</f>
        <v/>
      </c>
      <c r="F26" s="44">
        <f t="shared" si="0"/>
        <v>0</v>
      </c>
      <c r="G26" s="29">
        <f t="shared" si="1"/>
        <v>0</v>
      </c>
      <c r="H26" s="29">
        <f t="shared" si="3"/>
        <v>0</v>
      </c>
      <c r="I26" s="29">
        <f t="shared" si="4"/>
        <v>0</v>
      </c>
      <c r="J26" s="45">
        <f t="shared" si="5"/>
        <v>0</v>
      </c>
      <c r="K26" s="41"/>
      <c r="L26" s="41"/>
      <c r="M26" s="41"/>
      <c r="N26" s="41"/>
      <c r="Q26" s="14"/>
    </row>
    <row r="27" spans="1:17" x14ac:dyDescent="0.2">
      <c r="B27" s="1">
        <v>7</v>
      </c>
      <c r="C27" s="13">
        <f t="shared" si="2"/>
        <v>44681</v>
      </c>
      <c r="D27" s="46" t="str">
        <f>IF(COUNTIFS('PAYG INDICATIVE OPTIONS'!$U$4:$X$9,'Loan Repayment Input Sheet'!B27)&gt;0,0,"")</f>
        <v/>
      </c>
      <c r="E27" s="27" t="str">
        <f>IF(COUNTIFS('PAYG INDICATIVE OPTIONS'!$X$4:$X$9,'Loan Repayment Input Sheet'!B27)&gt;0,0,"")</f>
        <v/>
      </c>
      <c r="F27" s="44">
        <f t="shared" si="0"/>
        <v>0</v>
      </c>
      <c r="G27" s="29">
        <f t="shared" si="1"/>
        <v>0</v>
      </c>
      <c r="H27" s="29">
        <f t="shared" si="3"/>
        <v>0</v>
      </c>
      <c r="I27" s="29">
        <f t="shared" si="4"/>
        <v>0</v>
      </c>
      <c r="J27" s="29">
        <f t="shared" si="5"/>
        <v>0</v>
      </c>
      <c r="K27" s="41"/>
      <c r="L27" s="41"/>
      <c r="M27" s="41"/>
      <c r="N27" s="41"/>
      <c r="Q27" s="14"/>
    </row>
    <row r="28" spans="1:17" x14ac:dyDescent="0.2">
      <c r="B28" s="1">
        <v>8</v>
      </c>
      <c r="C28" s="13">
        <f t="shared" si="2"/>
        <v>44712</v>
      </c>
      <c r="D28" s="46" t="str">
        <f>IF(COUNTIFS('PAYG INDICATIVE OPTIONS'!$U$4:$X$9,'Loan Repayment Input Sheet'!B28)&gt;0,0,"")</f>
        <v/>
      </c>
      <c r="E28" s="27" t="str">
        <f>IF(COUNTIFS('PAYG INDICATIVE OPTIONS'!$X$4:$X$9,'Loan Repayment Input Sheet'!B28)&gt;0,0,"")</f>
        <v/>
      </c>
      <c r="F28" s="44">
        <f t="shared" si="0"/>
        <v>0</v>
      </c>
      <c r="G28" s="29">
        <f t="shared" si="1"/>
        <v>0</v>
      </c>
      <c r="H28" s="29">
        <f t="shared" si="3"/>
        <v>0</v>
      </c>
      <c r="I28" s="29">
        <f t="shared" si="4"/>
        <v>0</v>
      </c>
      <c r="J28" s="29">
        <f t="shared" si="5"/>
        <v>0</v>
      </c>
      <c r="K28" s="41"/>
      <c r="L28" s="41"/>
      <c r="M28" s="41"/>
      <c r="N28" s="41"/>
      <c r="Q28" s="14"/>
    </row>
    <row r="29" spans="1:17" x14ac:dyDescent="0.2">
      <c r="A29" s="1" t="str">
        <f>IF($A$18=1,"",IF($A$18=3,3))</f>
        <v/>
      </c>
      <c r="B29" s="1">
        <v>9</v>
      </c>
      <c r="C29" s="13">
        <f t="shared" si="2"/>
        <v>44742</v>
      </c>
      <c r="D29" s="46" t="str">
        <f>IF(COUNTIFS('PAYG INDICATIVE OPTIONS'!$U$4:$X$9,'Loan Repayment Input Sheet'!B29)&gt;0,0,"")</f>
        <v/>
      </c>
      <c r="E29" s="27" t="str">
        <f>IF(COUNTIFS('PAYG INDICATIVE OPTIONS'!$X$4:$X$9,'Loan Repayment Input Sheet'!B29)&gt;0,0,"")</f>
        <v/>
      </c>
      <c r="F29" s="44">
        <f t="shared" si="0"/>
        <v>0</v>
      </c>
      <c r="G29" s="29">
        <f t="shared" si="1"/>
        <v>0</v>
      </c>
      <c r="H29" s="29">
        <f t="shared" si="3"/>
        <v>0</v>
      </c>
      <c r="I29" s="29">
        <f t="shared" si="4"/>
        <v>0</v>
      </c>
      <c r="J29" s="29">
        <f t="shared" si="5"/>
        <v>0</v>
      </c>
      <c r="K29" s="41"/>
      <c r="L29" s="41"/>
      <c r="M29" s="41"/>
      <c r="N29" s="41"/>
      <c r="Q29" s="14"/>
    </row>
    <row r="30" spans="1:17" x14ac:dyDescent="0.2">
      <c r="B30" s="1">
        <v>10</v>
      </c>
      <c r="C30" s="13">
        <f t="shared" si="2"/>
        <v>44773</v>
      </c>
      <c r="D30" s="46" t="str">
        <f>IF(COUNTIFS('PAYG INDICATIVE OPTIONS'!$U$4:$X$9,'Loan Repayment Input Sheet'!B30)&gt;0,0,"")</f>
        <v/>
      </c>
      <c r="E30" s="27" t="str">
        <f>IF(COUNTIFS('PAYG INDICATIVE OPTIONS'!$X$4:$X$9,'Loan Repayment Input Sheet'!B30)&gt;0,0,"")</f>
        <v/>
      </c>
      <c r="F30" s="44">
        <f t="shared" si="0"/>
        <v>0</v>
      </c>
      <c r="G30" s="29">
        <f t="shared" si="1"/>
        <v>0</v>
      </c>
      <c r="H30" s="29">
        <f t="shared" si="3"/>
        <v>0</v>
      </c>
      <c r="I30" s="29">
        <f t="shared" si="4"/>
        <v>0</v>
      </c>
      <c r="J30" s="29">
        <f t="shared" si="5"/>
        <v>0</v>
      </c>
      <c r="K30" s="41"/>
      <c r="L30" s="41"/>
      <c r="M30" s="41"/>
      <c r="N30" s="41"/>
      <c r="Q30" s="14"/>
    </row>
    <row r="31" spans="1:17" x14ac:dyDescent="0.2">
      <c r="B31" s="1">
        <v>11</v>
      </c>
      <c r="C31" s="13">
        <f t="shared" si="2"/>
        <v>44804</v>
      </c>
      <c r="D31" s="46" t="str">
        <f>IF(COUNTIFS('PAYG INDICATIVE OPTIONS'!$U$4:$X$9,'Loan Repayment Input Sheet'!B31)&gt;0,0,"")</f>
        <v/>
      </c>
      <c r="E31" s="27" t="str">
        <f>IF(COUNTIFS('PAYG INDICATIVE OPTIONS'!$X$4:$X$9,'Loan Repayment Input Sheet'!B31)&gt;0,0,"")</f>
        <v/>
      </c>
      <c r="F31" s="44">
        <f t="shared" si="0"/>
        <v>0</v>
      </c>
      <c r="G31" s="29">
        <f t="shared" si="1"/>
        <v>0</v>
      </c>
      <c r="H31" s="29">
        <f t="shared" si="3"/>
        <v>0</v>
      </c>
      <c r="I31" s="29">
        <f t="shared" si="4"/>
        <v>0</v>
      </c>
      <c r="J31" s="29">
        <f t="shared" si="5"/>
        <v>0</v>
      </c>
      <c r="K31" s="41"/>
      <c r="L31" s="41"/>
      <c r="M31" s="41"/>
      <c r="N31" s="41"/>
      <c r="Q31" s="14"/>
    </row>
    <row r="32" spans="1:17" x14ac:dyDescent="0.2">
      <c r="B32" s="1">
        <v>12</v>
      </c>
      <c r="C32" s="13">
        <f t="shared" si="2"/>
        <v>44834</v>
      </c>
      <c r="D32" s="46" t="str">
        <f>IF(COUNTIFS('PAYG INDICATIVE OPTIONS'!$U$4:$X$9,'Loan Repayment Input Sheet'!B32)&gt;0,0,"")</f>
        <v/>
      </c>
      <c r="E32" s="27" t="str">
        <f>IF(COUNTIFS('PAYG INDICATIVE OPTIONS'!$X$4:$X$9,'Loan Repayment Input Sheet'!B32)&gt;0,0,"")</f>
        <v/>
      </c>
      <c r="F32" s="44">
        <f t="shared" si="0"/>
        <v>0</v>
      </c>
      <c r="G32" s="29">
        <f t="shared" si="1"/>
        <v>0</v>
      </c>
      <c r="H32" s="29">
        <f t="shared" si="3"/>
        <v>0</v>
      </c>
      <c r="I32" s="29">
        <f t="shared" si="4"/>
        <v>0</v>
      </c>
      <c r="J32" s="29">
        <f t="shared" si="5"/>
        <v>0</v>
      </c>
      <c r="K32" s="41"/>
      <c r="L32" s="41"/>
      <c r="M32" s="41"/>
      <c r="N32" s="41"/>
      <c r="Q32" s="14"/>
    </row>
    <row r="33" spans="1:17" x14ac:dyDescent="0.2">
      <c r="A33" s="1">
        <f>IF($A$18=1,2,IF($A$18=3,4))</f>
        <v>2</v>
      </c>
      <c r="B33" s="1">
        <v>13</v>
      </c>
      <c r="C33" s="13">
        <f t="shared" si="2"/>
        <v>44865</v>
      </c>
      <c r="D33" s="46" t="str">
        <f>IF(COUNTIFS('PAYG INDICATIVE OPTIONS'!$U$4:$X$9,'Loan Repayment Input Sheet'!B33)&gt;0,0,"")</f>
        <v/>
      </c>
      <c r="E33" s="27" t="str">
        <f>IF(COUNTIFS('PAYG INDICATIVE OPTIONS'!$X$4:$X$9,'Loan Repayment Input Sheet'!B33)&gt;0,0,"")</f>
        <v/>
      </c>
      <c r="F33" s="44">
        <f t="shared" si="0"/>
        <v>0</v>
      </c>
      <c r="G33" s="29">
        <f t="shared" si="1"/>
        <v>0</v>
      </c>
      <c r="H33" s="29">
        <f t="shared" si="3"/>
        <v>0</v>
      </c>
      <c r="I33" s="29">
        <f t="shared" si="4"/>
        <v>0</v>
      </c>
      <c r="J33" s="29">
        <f t="shared" si="5"/>
        <v>0</v>
      </c>
      <c r="K33" s="41"/>
      <c r="L33" s="41"/>
      <c r="M33" s="41"/>
      <c r="N33" s="41"/>
      <c r="Q33" s="14"/>
    </row>
    <row r="34" spans="1:17" x14ac:dyDescent="0.2">
      <c r="B34" s="1">
        <v>14</v>
      </c>
      <c r="C34" s="13">
        <f t="shared" si="2"/>
        <v>44895</v>
      </c>
      <c r="D34" s="46" t="str">
        <f>IF(COUNTIFS('PAYG INDICATIVE OPTIONS'!$U$4:$X$9,'Loan Repayment Input Sheet'!B34)&gt;0,0,"")</f>
        <v/>
      </c>
      <c r="E34" s="27" t="str">
        <f>IF(COUNTIFS('PAYG INDICATIVE OPTIONS'!$X$4:$X$9,'Loan Repayment Input Sheet'!B34)&gt;0,0,"")</f>
        <v/>
      </c>
      <c r="F34" s="44">
        <f t="shared" si="0"/>
        <v>0</v>
      </c>
      <c r="G34" s="29">
        <f t="shared" si="1"/>
        <v>0</v>
      </c>
      <c r="H34" s="29">
        <f t="shared" si="3"/>
        <v>0</v>
      </c>
      <c r="I34" s="29">
        <f t="shared" si="4"/>
        <v>0</v>
      </c>
      <c r="J34" s="29">
        <f t="shared" si="5"/>
        <v>0</v>
      </c>
      <c r="K34" s="41"/>
      <c r="L34" s="41"/>
      <c r="M34" s="41"/>
      <c r="N34" s="41"/>
      <c r="Q34" s="14"/>
    </row>
    <row r="35" spans="1:17" x14ac:dyDescent="0.2">
      <c r="B35" s="1">
        <v>15</v>
      </c>
      <c r="C35" s="13">
        <f t="shared" si="2"/>
        <v>44926</v>
      </c>
      <c r="D35" s="46" t="str">
        <f>IF(COUNTIFS('PAYG INDICATIVE OPTIONS'!$U$4:$X$9,'Loan Repayment Input Sheet'!B35)&gt;0,0,"")</f>
        <v/>
      </c>
      <c r="E35" s="27" t="str">
        <f>IF(COUNTIFS('PAYG INDICATIVE OPTIONS'!$X$4:$X$9,'Loan Repayment Input Sheet'!B35)&gt;0,0,"")</f>
        <v/>
      </c>
      <c r="F35" s="44">
        <f t="shared" si="0"/>
        <v>0</v>
      </c>
      <c r="G35" s="29">
        <f t="shared" si="1"/>
        <v>0</v>
      </c>
      <c r="H35" s="29">
        <f t="shared" si="3"/>
        <v>0</v>
      </c>
      <c r="I35" s="29">
        <f t="shared" si="4"/>
        <v>0</v>
      </c>
      <c r="J35" s="29">
        <f t="shared" si="5"/>
        <v>0</v>
      </c>
      <c r="K35" s="41"/>
      <c r="L35" s="41"/>
      <c r="M35" s="41"/>
      <c r="N35" s="41"/>
      <c r="Q35" s="14"/>
    </row>
    <row r="36" spans="1:17" x14ac:dyDescent="0.2">
      <c r="B36" s="1">
        <v>16</v>
      </c>
      <c r="C36" s="13">
        <f t="shared" si="2"/>
        <v>44957</v>
      </c>
      <c r="D36" s="46" t="str">
        <f>IF(COUNTIFS('PAYG INDICATIVE OPTIONS'!$U$4:$X$9,'Loan Repayment Input Sheet'!B36)&gt;0,0,"")</f>
        <v/>
      </c>
      <c r="E36" s="27" t="str">
        <f>IF(COUNTIFS('PAYG INDICATIVE OPTIONS'!$X$4:$X$9,'Loan Repayment Input Sheet'!B36)&gt;0,0,"")</f>
        <v/>
      </c>
      <c r="F36" s="44">
        <f t="shared" si="0"/>
        <v>0</v>
      </c>
      <c r="G36" s="29">
        <f t="shared" si="1"/>
        <v>0</v>
      </c>
      <c r="H36" s="29">
        <f t="shared" si="3"/>
        <v>0</v>
      </c>
      <c r="I36" s="29">
        <f t="shared" si="4"/>
        <v>0</v>
      </c>
      <c r="J36" s="29">
        <f t="shared" si="5"/>
        <v>0</v>
      </c>
      <c r="K36" s="41"/>
      <c r="L36" s="41"/>
      <c r="M36" s="41"/>
      <c r="N36" s="41"/>
      <c r="Q36" s="14"/>
    </row>
    <row r="37" spans="1:17" x14ac:dyDescent="0.2">
      <c r="A37" s="1" t="str">
        <f>IF($A$18=1,"",IF($A$18=3,5))</f>
        <v/>
      </c>
      <c r="B37" s="1">
        <v>17</v>
      </c>
      <c r="C37" s="13">
        <f t="shared" si="2"/>
        <v>44985</v>
      </c>
      <c r="D37" s="46" t="str">
        <f>IF(COUNTIFS('PAYG INDICATIVE OPTIONS'!$U$4:$X$9,'Loan Repayment Input Sheet'!B37)&gt;0,0,"")</f>
        <v/>
      </c>
      <c r="E37" s="27" t="str">
        <f>IF(COUNTIFS('PAYG INDICATIVE OPTIONS'!$X$4:$X$9,'Loan Repayment Input Sheet'!B37)&gt;0,0,"")</f>
        <v/>
      </c>
      <c r="F37" s="44">
        <f t="shared" si="0"/>
        <v>0</v>
      </c>
      <c r="G37" s="29">
        <f t="shared" si="1"/>
        <v>0</v>
      </c>
      <c r="H37" s="29">
        <f t="shared" si="3"/>
        <v>0</v>
      </c>
      <c r="I37" s="29">
        <f t="shared" si="4"/>
        <v>0</v>
      </c>
      <c r="J37" s="29">
        <f t="shared" si="5"/>
        <v>0</v>
      </c>
      <c r="K37" s="41"/>
      <c r="L37" s="41"/>
      <c r="M37" s="41"/>
      <c r="N37" s="41"/>
      <c r="Q37" s="14"/>
    </row>
    <row r="38" spans="1:17" x14ac:dyDescent="0.2">
      <c r="B38" s="1">
        <v>18</v>
      </c>
      <c r="C38" s="13">
        <f t="shared" si="2"/>
        <v>45016</v>
      </c>
      <c r="D38" s="46" t="str">
        <f>IF(COUNTIFS('PAYG INDICATIVE OPTIONS'!$U$4:$X$9,'Loan Repayment Input Sheet'!B38)&gt;0,0,"")</f>
        <v/>
      </c>
      <c r="E38" s="27" t="str">
        <f>IF(COUNTIFS('PAYG INDICATIVE OPTIONS'!$X$4:$X$9,'Loan Repayment Input Sheet'!B38)&gt;0,0,"")</f>
        <v/>
      </c>
      <c r="F38" s="44">
        <f t="shared" si="0"/>
        <v>0</v>
      </c>
      <c r="G38" s="29">
        <f t="shared" si="1"/>
        <v>0</v>
      </c>
      <c r="H38" s="29">
        <f t="shared" si="3"/>
        <v>0</v>
      </c>
      <c r="I38" s="29">
        <f t="shared" si="4"/>
        <v>0</v>
      </c>
      <c r="J38" s="29">
        <f t="shared" si="5"/>
        <v>0</v>
      </c>
      <c r="K38" s="41"/>
      <c r="L38" s="41"/>
      <c r="M38" s="41"/>
      <c r="N38" s="41"/>
      <c r="Q38" s="14"/>
    </row>
    <row r="39" spans="1:17" x14ac:dyDescent="0.2">
      <c r="B39" s="1">
        <v>19</v>
      </c>
      <c r="C39" s="13">
        <f t="shared" si="2"/>
        <v>45046</v>
      </c>
      <c r="D39" s="46" t="str">
        <f>IF(COUNTIFS('PAYG INDICATIVE OPTIONS'!$U$4:$X$9,'Loan Repayment Input Sheet'!B39)&gt;0,0,"")</f>
        <v/>
      </c>
      <c r="E39" s="27" t="str">
        <f>IF(COUNTIFS('PAYG INDICATIVE OPTIONS'!$X$4:$X$9,'Loan Repayment Input Sheet'!B39)&gt;0,0,"")</f>
        <v/>
      </c>
      <c r="F39" s="44">
        <f t="shared" si="0"/>
        <v>0</v>
      </c>
      <c r="G39" s="29">
        <f t="shared" si="1"/>
        <v>0</v>
      </c>
      <c r="H39" s="29">
        <f t="shared" si="3"/>
        <v>0</v>
      </c>
      <c r="I39" s="29">
        <f t="shared" si="4"/>
        <v>0</v>
      </c>
      <c r="J39" s="29">
        <f t="shared" si="5"/>
        <v>0</v>
      </c>
      <c r="K39" s="41"/>
      <c r="L39" s="41"/>
      <c r="M39" s="41"/>
      <c r="N39" s="41"/>
      <c r="Q39" s="14"/>
    </row>
    <row r="40" spans="1:17" x14ac:dyDescent="0.2">
      <c r="B40" s="1">
        <v>20</v>
      </c>
      <c r="C40" s="13">
        <f t="shared" si="2"/>
        <v>45077</v>
      </c>
      <c r="D40" s="46" t="str">
        <f>IF(COUNTIFS('PAYG INDICATIVE OPTIONS'!$U$4:$X$9,'Loan Repayment Input Sheet'!B40)&gt;0,0,"")</f>
        <v/>
      </c>
      <c r="E40" s="27" t="str">
        <f>IF(COUNTIFS('PAYG INDICATIVE OPTIONS'!$X$4:$X$9,'Loan Repayment Input Sheet'!B40)&gt;0,0,"")</f>
        <v/>
      </c>
      <c r="F40" s="44">
        <f t="shared" si="0"/>
        <v>0</v>
      </c>
      <c r="G40" s="29">
        <f t="shared" si="1"/>
        <v>0</v>
      </c>
      <c r="H40" s="29">
        <f t="shared" si="3"/>
        <v>0</v>
      </c>
      <c r="I40" s="29">
        <f t="shared" si="4"/>
        <v>0</v>
      </c>
      <c r="J40" s="29">
        <f t="shared" si="5"/>
        <v>0</v>
      </c>
      <c r="K40" s="41"/>
      <c r="L40" s="41"/>
      <c r="M40" s="41"/>
      <c r="N40" s="41"/>
      <c r="Q40" s="14"/>
    </row>
    <row r="41" spans="1:17" x14ac:dyDescent="0.2">
      <c r="A41" s="1" t="str">
        <f>IF($A$18=1,"",IF($A$18=3,6))</f>
        <v/>
      </c>
      <c r="B41" s="1">
        <v>21</v>
      </c>
      <c r="C41" s="13">
        <f t="shared" si="2"/>
        <v>45107</v>
      </c>
      <c r="D41" s="46" t="str">
        <f>IF(COUNTIFS('PAYG INDICATIVE OPTIONS'!$U$4:$X$9,'Loan Repayment Input Sheet'!B41)&gt;0,0,"")</f>
        <v/>
      </c>
      <c r="E41" s="27" t="str">
        <f>IF(COUNTIFS('PAYG INDICATIVE OPTIONS'!$X$4:$X$9,'Loan Repayment Input Sheet'!B41)&gt;0,0,"")</f>
        <v/>
      </c>
      <c r="F41" s="44">
        <f t="shared" si="0"/>
        <v>0</v>
      </c>
      <c r="G41" s="29">
        <f t="shared" si="1"/>
        <v>0</v>
      </c>
      <c r="H41" s="29">
        <f t="shared" si="3"/>
        <v>0</v>
      </c>
      <c r="I41" s="29">
        <f t="shared" si="4"/>
        <v>0</v>
      </c>
      <c r="J41" s="29">
        <f t="shared" si="5"/>
        <v>0</v>
      </c>
      <c r="K41" s="41"/>
      <c r="L41" s="41"/>
      <c r="M41" s="41"/>
      <c r="N41" s="41"/>
      <c r="O41" s="16"/>
      <c r="Q41" s="14"/>
    </row>
    <row r="42" spans="1:17" x14ac:dyDescent="0.2">
      <c r="B42" s="1">
        <v>22</v>
      </c>
      <c r="C42" s="13">
        <f t="shared" si="2"/>
        <v>45138</v>
      </c>
      <c r="D42" s="46" t="str">
        <f>IF(COUNTIFS('PAYG INDICATIVE OPTIONS'!$U$4:$X$9,'Loan Repayment Input Sheet'!B42)&gt;0,0,"")</f>
        <v/>
      </c>
      <c r="E42" s="27" t="str">
        <f>IF(COUNTIFS('PAYG INDICATIVE OPTIONS'!$X$4:$X$9,'Loan Repayment Input Sheet'!B42)&gt;0,0,"")</f>
        <v/>
      </c>
      <c r="F42" s="44">
        <f t="shared" si="0"/>
        <v>0</v>
      </c>
      <c r="G42" s="29">
        <f t="shared" si="1"/>
        <v>0</v>
      </c>
      <c r="H42" s="29">
        <f t="shared" si="3"/>
        <v>0</v>
      </c>
      <c r="I42" s="29">
        <f t="shared" si="4"/>
        <v>0</v>
      </c>
      <c r="J42" s="29">
        <f t="shared" si="5"/>
        <v>0</v>
      </c>
      <c r="K42" s="41"/>
      <c r="L42" s="41"/>
      <c r="M42" s="41"/>
      <c r="N42" s="41"/>
      <c r="Q42" s="14"/>
    </row>
    <row r="43" spans="1:17" x14ac:dyDescent="0.2">
      <c r="B43" s="1">
        <v>23</v>
      </c>
      <c r="C43" s="13">
        <f t="shared" si="2"/>
        <v>45169</v>
      </c>
      <c r="D43" s="46" t="str">
        <f>IF(COUNTIFS('PAYG INDICATIVE OPTIONS'!$U$4:$X$9,'Loan Repayment Input Sheet'!B43)&gt;0,0,"")</f>
        <v/>
      </c>
      <c r="E43" s="27" t="str">
        <f>IF(COUNTIFS('PAYG INDICATIVE OPTIONS'!$X$4:$X$9,'Loan Repayment Input Sheet'!B43)&gt;0,0,"")</f>
        <v/>
      </c>
      <c r="F43" s="44">
        <f t="shared" si="0"/>
        <v>0</v>
      </c>
      <c r="G43" s="29">
        <f t="shared" si="1"/>
        <v>0</v>
      </c>
      <c r="H43" s="29">
        <f t="shared" si="3"/>
        <v>0</v>
      </c>
      <c r="I43" s="29">
        <f t="shared" si="4"/>
        <v>0</v>
      </c>
      <c r="J43" s="29">
        <f t="shared" si="5"/>
        <v>0</v>
      </c>
      <c r="K43" s="41"/>
      <c r="L43" s="41"/>
      <c r="M43" s="41"/>
      <c r="N43" s="41"/>
      <c r="Q43" s="14"/>
    </row>
    <row r="44" spans="1:17" x14ac:dyDescent="0.2">
      <c r="B44" s="1">
        <v>24</v>
      </c>
      <c r="C44" s="13">
        <f t="shared" si="2"/>
        <v>45199</v>
      </c>
      <c r="D44" s="46" t="str">
        <f>IF(COUNTIFS('PAYG INDICATIVE OPTIONS'!$U$4:$X$9,'Loan Repayment Input Sheet'!B44)&gt;0,0,"")</f>
        <v/>
      </c>
      <c r="E44" s="27" t="str">
        <f>IF(COUNTIFS('PAYG INDICATIVE OPTIONS'!$X$4:$X$9,'Loan Repayment Input Sheet'!B44)&gt;0,0,"")</f>
        <v/>
      </c>
      <c r="F44" s="44">
        <f t="shared" si="0"/>
        <v>0</v>
      </c>
      <c r="G44" s="29">
        <f t="shared" si="1"/>
        <v>0</v>
      </c>
      <c r="H44" s="29">
        <f t="shared" si="3"/>
        <v>0</v>
      </c>
      <c r="I44" s="29">
        <f t="shared" si="4"/>
        <v>0</v>
      </c>
      <c r="J44" s="29">
        <f t="shared" si="5"/>
        <v>0</v>
      </c>
      <c r="K44" s="41"/>
      <c r="L44" s="41"/>
      <c r="M44" s="41"/>
      <c r="N44" s="41"/>
      <c r="Q44" s="14"/>
    </row>
    <row r="45" spans="1:17" x14ac:dyDescent="0.2">
      <c r="A45" s="1">
        <f>IF($A$18=1,3,IF($A$18=3,7))</f>
        <v>3</v>
      </c>
      <c r="B45" s="1">
        <v>25</v>
      </c>
      <c r="C45" s="13">
        <f t="shared" si="2"/>
        <v>45230</v>
      </c>
      <c r="D45" s="46" t="str">
        <f>IF(COUNTIFS('PAYG INDICATIVE OPTIONS'!$U$4:$X$9,'Loan Repayment Input Sheet'!B45)&gt;0,0,"")</f>
        <v/>
      </c>
      <c r="E45" s="27" t="str">
        <f>IF(COUNTIFS('PAYG INDICATIVE OPTIONS'!$X$4:$X$9,'Loan Repayment Input Sheet'!B45)&gt;0,0,"")</f>
        <v/>
      </c>
      <c r="F45" s="44">
        <f t="shared" si="0"/>
        <v>0</v>
      </c>
      <c r="G45" s="29">
        <f t="shared" si="1"/>
        <v>0</v>
      </c>
      <c r="H45" s="29">
        <f t="shared" si="3"/>
        <v>0</v>
      </c>
      <c r="I45" s="29">
        <f t="shared" si="4"/>
        <v>0</v>
      </c>
      <c r="J45" s="29">
        <f t="shared" si="5"/>
        <v>0</v>
      </c>
      <c r="K45" s="41"/>
      <c r="L45" s="41"/>
      <c r="M45" s="41"/>
      <c r="N45" s="41"/>
      <c r="Q45" s="14"/>
    </row>
    <row r="46" spans="1:17" x14ac:dyDescent="0.2">
      <c r="B46" s="1">
        <v>26</v>
      </c>
      <c r="C46" s="13">
        <f t="shared" si="2"/>
        <v>45260</v>
      </c>
      <c r="D46" s="46" t="str">
        <f>IF(COUNTIFS('PAYG INDICATIVE OPTIONS'!$U$4:$X$9,'Loan Repayment Input Sheet'!B46)&gt;0,0,"")</f>
        <v/>
      </c>
      <c r="E46" s="27" t="str">
        <f>IF(COUNTIFS('PAYG INDICATIVE OPTIONS'!$X$4:$X$9,'Loan Repayment Input Sheet'!B46)&gt;0,0,"")</f>
        <v/>
      </c>
      <c r="F46" s="44">
        <f t="shared" si="0"/>
        <v>0</v>
      </c>
      <c r="G46" s="29">
        <f t="shared" si="1"/>
        <v>0</v>
      </c>
      <c r="H46" s="29">
        <f t="shared" si="3"/>
        <v>0</v>
      </c>
      <c r="I46" s="29">
        <f t="shared" si="4"/>
        <v>0</v>
      </c>
      <c r="J46" s="29">
        <f t="shared" si="5"/>
        <v>0</v>
      </c>
      <c r="K46" s="41"/>
      <c r="L46" s="41"/>
      <c r="M46" s="41"/>
      <c r="N46" s="41"/>
      <c r="Q46" s="14"/>
    </row>
    <row r="47" spans="1:17" x14ac:dyDescent="0.2">
      <c r="B47" s="1">
        <v>27</v>
      </c>
      <c r="C47" s="13">
        <f t="shared" si="2"/>
        <v>45291</v>
      </c>
      <c r="D47" s="46" t="str">
        <f>IF(COUNTIFS('PAYG INDICATIVE OPTIONS'!$U$4:$X$9,'Loan Repayment Input Sheet'!B47)&gt;0,0,"")</f>
        <v/>
      </c>
      <c r="E47" s="27" t="str">
        <f>IF(COUNTIFS('PAYG INDICATIVE OPTIONS'!$X$4:$X$9,'Loan Repayment Input Sheet'!B47)&gt;0,0,"")</f>
        <v/>
      </c>
      <c r="F47" s="44">
        <f t="shared" si="0"/>
        <v>0</v>
      </c>
      <c r="G47" s="29">
        <f t="shared" si="1"/>
        <v>0</v>
      </c>
      <c r="H47" s="29">
        <f t="shared" si="3"/>
        <v>0</v>
      </c>
      <c r="I47" s="29">
        <f t="shared" si="4"/>
        <v>0</v>
      </c>
      <c r="J47" s="29">
        <f t="shared" si="5"/>
        <v>0</v>
      </c>
      <c r="K47" s="41"/>
      <c r="L47" s="41"/>
      <c r="M47" s="41"/>
      <c r="N47" s="41"/>
      <c r="Q47" s="14"/>
    </row>
    <row r="48" spans="1:17" x14ac:dyDescent="0.2">
      <c r="B48" s="1">
        <v>28</v>
      </c>
      <c r="C48" s="13">
        <f t="shared" si="2"/>
        <v>45322</v>
      </c>
      <c r="D48" s="46" t="str">
        <f>IF(COUNTIFS('PAYG INDICATIVE OPTIONS'!$U$4:$X$9,'Loan Repayment Input Sheet'!B48)&gt;0,0,"")</f>
        <v/>
      </c>
      <c r="E48" s="27" t="str">
        <f>IF(COUNTIFS('PAYG INDICATIVE OPTIONS'!$X$4:$X$9,'Loan Repayment Input Sheet'!B48)&gt;0,0,"")</f>
        <v/>
      </c>
      <c r="F48" s="44">
        <f t="shared" si="0"/>
        <v>0</v>
      </c>
      <c r="G48" s="29">
        <f t="shared" si="1"/>
        <v>0</v>
      </c>
      <c r="H48" s="29">
        <f t="shared" si="3"/>
        <v>0</v>
      </c>
      <c r="I48" s="29">
        <f t="shared" si="4"/>
        <v>0</v>
      </c>
      <c r="J48" s="29">
        <f t="shared" si="5"/>
        <v>0</v>
      </c>
      <c r="K48" s="41"/>
      <c r="L48" s="41"/>
      <c r="M48" s="41"/>
      <c r="N48" s="41"/>
      <c r="Q48" s="14"/>
    </row>
    <row r="49" spans="1:17" x14ac:dyDescent="0.2">
      <c r="A49" s="1" t="str">
        <f>IF($A$18=1,"",IF($A$18=3,8))</f>
        <v/>
      </c>
      <c r="B49" s="1">
        <v>29</v>
      </c>
      <c r="C49" s="13">
        <f t="shared" si="2"/>
        <v>45351</v>
      </c>
      <c r="D49" s="46" t="str">
        <f>IF(COUNTIFS('PAYG INDICATIVE OPTIONS'!$U$4:$X$9,'Loan Repayment Input Sheet'!B49)&gt;0,0,"")</f>
        <v/>
      </c>
      <c r="E49" s="27" t="str">
        <f>IF(COUNTIFS('PAYG INDICATIVE OPTIONS'!$X$4:$X$9,'Loan Repayment Input Sheet'!B49)&gt;0,0,"")</f>
        <v/>
      </c>
      <c r="F49" s="44">
        <f t="shared" si="0"/>
        <v>0</v>
      </c>
      <c r="G49" s="29">
        <f t="shared" si="1"/>
        <v>0</v>
      </c>
      <c r="H49" s="29">
        <f t="shared" si="3"/>
        <v>0</v>
      </c>
      <c r="I49" s="29">
        <f t="shared" si="4"/>
        <v>0</v>
      </c>
      <c r="J49" s="29">
        <f t="shared" si="5"/>
        <v>0</v>
      </c>
      <c r="K49" s="41"/>
      <c r="L49" s="41"/>
      <c r="M49" s="41"/>
      <c r="N49" s="41"/>
      <c r="Q49" s="14"/>
    </row>
    <row r="50" spans="1:17" x14ac:dyDescent="0.2">
      <c r="B50" s="1">
        <v>30</v>
      </c>
      <c r="C50" s="13">
        <f t="shared" si="2"/>
        <v>45382</v>
      </c>
      <c r="D50" s="46" t="str">
        <f>IF(COUNTIFS('PAYG INDICATIVE OPTIONS'!$U$4:$X$9,'Loan Repayment Input Sheet'!B50)&gt;0,0,"")</f>
        <v/>
      </c>
      <c r="E50" s="27" t="str">
        <f>IF(COUNTIFS('PAYG INDICATIVE OPTIONS'!$X$4:$X$9,'Loan Repayment Input Sheet'!B50)&gt;0,0,"")</f>
        <v/>
      </c>
      <c r="F50" s="44">
        <f t="shared" si="0"/>
        <v>0</v>
      </c>
      <c r="G50" s="29">
        <f t="shared" si="1"/>
        <v>0</v>
      </c>
      <c r="H50" s="29">
        <f t="shared" si="3"/>
        <v>0</v>
      </c>
      <c r="I50" s="29">
        <f t="shared" si="4"/>
        <v>0</v>
      </c>
      <c r="J50" s="29">
        <f t="shared" si="5"/>
        <v>0</v>
      </c>
      <c r="K50" s="41"/>
      <c r="L50" s="41"/>
      <c r="M50" s="41"/>
      <c r="N50" s="41"/>
      <c r="Q50" s="14"/>
    </row>
    <row r="51" spans="1:17" x14ac:dyDescent="0.2">
      <c r="B51" s="1">
        <v>31</v>
      </c>
      <c r="C51" s="13">
        <f t="shared" si="2"/>
        <v>45412</v>
      </c>
      <c r="D51" s="46" t="str">
        <f>IF(COUNTIFS('PAYG INDICATIVE OPTIONS'!$U$4:$X$9,'Loan Repayment Input Sheet'!B51)&gt;0,0,"")</f>
        <v/>
      </c>
      <c r="E51" s="27" t="str">
        <f>IF(COUNTIFS('PAYG INDICATIVE OPTIONS'!$X$4:$X$9,'Loan Repayment Input Sheet'!B51)&gt;0,0,"")</f>
        <v/>
      </c>
      <c r="F51" s="44">
        <f t="shared" si="0"/>
        <v>0</v>
      </c>
      <c r="G51" s="29">
        <f t="shared" si="1"/>
        <v>0</v>
      </c>
      <c r="H51" s="29">
        <f t="shared" si="3"/>
        <v>0</v>
      </c>
      <c r="I51" s="29">
        <f t="shared" si="4"/>
        <v>0</v>
      </c>
      <c r="J51" s="29">
        <f t="shared" si="5"/>
        <v>0</v>
      </c>
      <c r="K51" s="41"/>
      <c r="L51" s="41"/>
      <c r="M51" s="41"/>
      <c r="N51" s="41"/>
      <c r="Q51" s="14"/>
    </row>
    <row r="52" spans="1:17" x14ac:dyDescent="0.2">
      <c r="B52" s="1">
        <v>32</v>
      </c>
      <c r="C52" s="13">
        <f t="shared" si="2"/>
        <v>45443</v>
      </c>
      <c r="D52" s="46" t="str">
        <f>IF(COUNTIFS('PAYG INDICATIVE OPTIONS'!$U$4:$X$9,'Loan Repayment Input Sheet'!B52)&gt;0,0,"")</f>
        <v/>
      </c>
      <c r="E52" s="27" t="str">
        <f>IF(COUNTIFS('PAYG INDICATIVE OPTIONS'!$X$4:$X$9,'Loan Repayment Input Sheet'!B52)&gt;0,0,"")</f>
        <v/>
      </c>
      <c r="F52" s="44">
        <f t="shared" si="0"/>
        <v>0</v>
      </c>
      <c r="G52" s="29">
        <f t="shared" si="1"/>
        <v>0</v>
      </c>
      <c r="H52" s="29">
        <f t="shared" si="3"/>
        <v>0</v>
      </c>
      <c r="I52" s="29">
        <f t="shared" si="4"/>
        <v>0</v>
      </c>
      <c r="J52" s="29">
        <f t="shared" si="5"/>
        <v>0</v>
      </c>
      <c r="K52" s="41"/>
      <c r="L52" s="41"/>
      <c r="M52" s="41"/>
      <c r="N52" s="41"/>
      <c r="Q52" s="14"/>
    </row>
    <row r="53" spans="1:17" x14ac:dyDescent="0.2">
      <c r="A53" s="1" t="str">
        <f>IF($A$18=1,"",IF($A$18=3,9))</f>
        <v/>
      </c>
      <c r="B53" s="1">
        <v>33</v>
      </c>
      <c r="C53" s="13">
        <f t="shared" si="2"/>
        <v>45473</v>
      </c>
      <c r="D53" s="46" t="str">
        <f>IF(COUNTIFS('PAYG INDICATIVE OPTIONS'!$U$4:$X$9,'Loan Repayment Input Sheet'!B53)&gt;0,0,"")</f>
        <v/>
      </c>
      <c r="E53" s="27" t="str">
        <f>IF(COUNTIFS('PAYG INDICATIVE OPTIONS'!$X$4:$X$9,'Loan Repayment Input Sheet'!B53)&gt;0,0,"")</f>
        <v/>
      </c>
      <c r="F53" s="44">
        <f t="shared" si="0"/>
        <v>0</v>
      </c>
      <c r="G53" s="29">
        <f t="shared" si="1"/>
        <v>0</v>
      </c>
      <c r="H53" s="29">
        <f t="shared" si="3"/>
        <v>0</v>
      </c>
      <c r="I53" s="29">
        <f t="shared" si="4"/>
        <v>0</v>
      </c>
      <c r="J53" s="29">
        <f t="shared" si="5"/>
        <v>0</v>
      </c>
      <c r="K53" s="41"/>
      <c r="L53" s="41"/>
      <c r="M53" s="41"/>
      <c r="N53" s="41"/>
      <c r="Q53" s="14"/>
    </row>
    <row r="54" spans="1:17" x14ac:dyDescent="0.2">
      <c r="B54" s="1">
        <v>34</v>
      </c>
      <c r="C54" s="13">
        <f t="shared" si="2"/>
        <v>45504</v>
      </c>
      <c r="D54" s="46" t="str">
        <f>IF(COUNTIFS('PAYG INDICATIVE OPTIONS'!$U$4:$X$9,'Loan Repayment Input Sheet'!B54)&gt;0,0,"")</f>
        <v/>
      </c>
      <c r="E54" s="27" t="str">
        <f>IF(COUNTIFS('PAYG INDICATIVE OPTIONS'!$X$4:$X$9,'Loan Repayment Input Sheet'!B54)&gt;0,0,"")</f>
        <v/>
      </c>
      <c r="F54" s="44">
        <f t="shared" si="0"/>
        <v>0</v>
      </c>
      <c r="G54" s="29">
        <f t="shared" si="1"/>
        <v>0</v>
      </c>
      <c r="H54" s="29">
        <f t="shared" si="3"/>
        <v>0</v>
      </c>
      <c r="I54" s="29">
        <f t="shared" si="4"/>
        <v>0</v>
      </c>
      <c r="J54" s="29">
        <f t="shared" si="5"/>
        <v>0</v>
      </c>
      <c r="K54" s="41"/>
      <c r="L54" s="41"/>
      <c r="M54" s="41"/>
      <c r="N54" s="41"/>
      <c r="Q54" s="14"/>
    </row>
    <row r="55" spans="1:17" x14ac:dyDescent="0.2">
      <c r="B55" s="1">
        <v>35</v>
      </c>
      <c r="C55" s="13">
        <f t="shared" si="2"/>
        <v>45535</v>
      </c>
      <c r="D55" s="46" t="str">
        <f>IF(COUNTIFS('PAYG INDICATIVE OPTIONS'!$U$4:$X$9,'Loan Repayment Input Sheet'!B55)&gt;0,0,"")</f>
        <v/>
      </c>
      <c r="E55" s="27" t="str">
        <f>IF(COUNTIFS('PAYG INDICATIVE OPTIONS'!$X$4:$X$9,'Loan Repayment Input Sheet'!B55)&gt;0,0,"")</f>
        <v/>
      </c>
      <c r="F55" s="44">
        <f t="shared" si="0"/>
        <v>0</v>
      </c>
      <c r="G55" s="29">
        <f t="shared" si="1"/>
        <v>0</v>
      </c>
      <c r="H55" s="29">
        <f t="shared" si="3"/>
        <v>0</v>
      </c>
      <c r="I55" s="29">
        <f t="shared" si="4"/>
        <v>0</v>
      </c>
      <c r="J55" s="29">
        <f t="shared" si="5"/>
        <v>0</v>
      </c>
      <c r="K55" s="41"/>
      <c r="L55" s="41"/>
      <c r="M55" s="41"/>
      <c r="N55" s="41"/>
      <c r="Q55" s="14"/>
    </row>
    <row r="56" spans="1:17" x14ac:dyDescent="0.2">
      <c r="B56" s="1">
        <v>36</v>
      </c>
      <c r="C56" s="13">
        <f t="shared" si="2"/>
        <v>45565</v>
      </c>
      <c r="D56" s="46" t="str">
        <f>IF(COUNTIFS('PAYG INDICATIVE OPTIONS'!$U$4:$X$9,'Loan Repayment Input Sheet'!B56)&gt;0,0,"")</f>
        <v/>
      </c>
      <c r="E56" s="27" t="str">
        <f>IF(COUNTIFS('PAYG INDICATIVE OPTIONS'!$X$4:$X$9,'Loan Repayment Input Sheet'!B56)&gt;0,0,"")</f>
        <v/>
      </c>
      <c r="F56" s="44">
        <f t="shared" si="0"/>
        <v>0</v>
      </c>
      <c r="G56" s="29">
        <f t="shared" si="1"/>
        <v>0</v>
      </c>
      <c r="H56" s="29">
        <f t="shared" si="3"/>
        <v>0</v>
      </c>
      <c r="I56" s="29">
        <f t="shared" si="4"/>
        <v>0</v>
      </c>
      <c r="J56" s="29">
        <f t="shared" si="5"/>
        <v>0</v>
      </c>
      <c r="K56" s="41"/>
      <c r="L56" s="41"/>
      <c r="M56" s="41"/>
      <c r="N56" s="41"/>
      <c r="Q56" s="14"/>
    </row>
    <row r="57" spans="1:17" x14ac:dyDescent="0.2">
      <c r="A57" s="1">
        <f>IF($A$18=1,4,IF($A$18=3,10))</f>
        <v>4</v>
      </c>
      <c r="B57" s="1">
        <v>37</v>
      </c>
      <c r="C57" s="13">
        <f t="shared" si="2"/>
        <v>45596</v>
      </c>
      <c r="D57" s="46" t="str">
        <f>IF(COUNTIFS('PAYG INDICATIVE OPTIONS'!$U$4:$X$9,'Loan Repayment Input Sheet'!B57)&gt;0,0,"")</f>
        <v/>
      </c>
      <c r="E57" s="27" t="str">
        <f>IF(COUNTIFS('PAYG INDICATIVE OPTIONS'!$X$4:$X$9,'Loan Repayment Input Sheet'!B57)&gt;0,0,"")</f>
        <v/>
      </c>
      <c r="F57" s="44">
        <f t="shared" si="0"/>
        <v>0</v>
      </c>
      <c r="G57" s="29">
        <f t="shared" si="1"/>
        <v>0</v>
      </c>
      <c r="H57" s="29">
        <f t="shared" si="3"/>
        <v>0</v>
      </c>
      <c r="I57" s="29">
        <f t="shared" si="4"/>
        <v>0</v>
      </c>
      <c r="J57" s="29">
        <f t="shared" si="5"/>
        <v>0</v>
      </c>
      <c r="K57" s="41"/>
      <c r="L57" s="41"/>
      <c r="M57" s="41"/>
      <c r="N57" s="41"/>
      <c r="Q57" s="14"/>
    </row>
    <row r="58" spans="1:17" x14ac:dyDescent="0.2">
      <c r="B58" s="1">
        <v>38</v>
      </c>
      <c r="C58" s="13">
        <f t="shared" si="2"/>
        <v>45626</v>
      </c>
      <c r="D58" s="46" t="str">
        <f>IF(COUNTIFS('PAYG INDICATIVE OPTIONS'!$U$4:$X$9,'Loan Repayment Input Sheet'!B58)&gt;0,0,"")</f>
        <v/>
      </c>
      <c r="E58" s="27" t="str">
        <f>IF(COUNTIFS('PAYG INDICATIVE OPTIONS'!$X$4:$X$9,'Loan Repayment Input Sheet'!B58)&gt;0,0,"")</f>
        <v/>
      </c>
      <c r="F58" s="44">
        <f t="shared" si="0"/>
        <v>0</v>
      </c>
      <c r="G58" s="29">
        <f t="shared" si="1"/>
        <v>0</v>
      </c>
      <c r="H58" s="29">
        <f t="shared" si="3"/>
        <v>0</v>
      </c>
      <c r="I58" s="29">
        <f t="shared" si="4"/>
        <v>0</v>
      </c>
      <c r="J58" s="29">
        <f t="shared" si="5"/>
        <v>0</v>
      </c>
      <c r="K58" s="41"/>
      <c r="L58" s="41"/>
      <c r="M58" s="41"/>
      <c r="N58" s="41"/>
      <c r="Q58" s="14"/>
    </row>
    <row r="59" spans="1:17" x14ac:dyDescent="0.2">
      <c r="B59" s="1">
        <v>39</v>
      </c>
      <c r="C59" s="13">
        <f t="shared" si="2"/>
        <v>45657</v>
      </c>
      <c r="D59" s="46" t="str">
        <f>IF(COUNTIFS('PAYG INDICATIVE OPTIONS'!$U$4:$X$9,'Loan Repayment Input Sheet'!B59)&gt;0,0,"")</f>
        <v/>
      </c>
      <c r="E59" s="27" t="str">
        <f>IF(COUNTIFS('PAYG INDICATIVE OPTIONS'!$X$4:$X$9,'Loan Repayment Input Sheet'!B59)&gt;0,0,"")</f>
        <v/>
      </c>
      <c r="F59" s="44">
        <f t="shared" si="0"/>
        <v>0</v>
      </c>
      <c r="G59" s="29">
        <f t="shared" si="1"/>
        <v>0</v>
      </c>
      <c r="H59" s="29">
        <f t="shared" si="3"/>
        <v>0</v>
      </c>
      <c r="I59" s="29">
        <f t="shared" si="4"/>
        <v>0</v>
      </c>
      <c r="J59" s="29">
        <f t="shared" si="5"/>
        <v>0</v>
      </c>
      <c r="K59" s="41"/>
      <c r="L59" s="41"/>
      <c r="M59" s="41"/>
      <c r="N59" s="41"/>
      <c r="Q59" s="14"/>
    </row>
    <row r="60" spans="1:17" x14ac:dyDescent="0.2">
      <c r="B60" s="1">
        <v>40</v>
      </c>
      <c r="C60" s="13">
        <f t="shared" si="2"/>
        <v>45688</v>
      </c>
      <c r="D60" s="46" t="str">
        <f>IF(COUNTIFS('PAYG INDICATIVE OPTIONS'!$U$4:$X$9,'Loan Repayment Input Sheet'!B60)&gt;0,0,"")</f>
        <v/>
      </c>
      <c r="E60" s="27" t="str">
        <f>IF(COUNTIFS('PAYG INDICATIVE OPTIONS'!$X$4:$X$9,'Loan Repayment Input Sheet'!B60)&gt;0,0,"")</f>
        <v/>
      </c>
      <c r="F60" s="44">
        <f t="shared" si="0"/>
        <v>0</v>
      </c>
      <c r="G60" s="29">
        <f t="shared" si="1"/>
        <v>0</v>
      </c>
      <c r="H60" s="29">
        <f t="shared" si="3"/>
        <v>0</v>
      </c>
      <c r="I60" s="29">
        <f t="shared" si="4"/>
        <v>0</v>
      </c>
      <c r="J60" s="29">
        <f t="shared" si="5"/>
        <v>0</v>
      </c>
      <c r="K60" s="41"/>
      <c r="L60" s="41"/>
      <c r="M60" s="41"/>
      <c r="N60" s="41"/>
      <c r="Q60" s="14"/>
    </row>
    <row r="61" spans="1:17" x14ac:dyDescent="0.2">
      <c r="A61" s="1" t="str">
        <f>IF($A$18=1,"",IF($A$18=3,11))</f>
        <v/>
      </c>
      <c r="B61" s="1">
        <v>41</v>
      </c>
      <c r="C61" s="13">
        <f t="shared" si="2"/>
        <v>45716</v>
      </c>
      <c r="D61" s="46" t="str">
        <f>IF(COUNTIFS('PAYG INDICATIVE OPTIONS'!$U$4:$X$9,'Loan Repayment Input Sheet'!B61)&gt;0,0,"")</f>
        <v/>
      </c>
      <c r="E61" s="27" t="str">
        <f>IF(COUNTIFS('PAYG INDICATIVE OPTIONS'!$X$4:$X$9,'Loan Repayment Input Sheet'!B61)&gt;0,0,"")</f>
        <v/>
      </c>
      <c r="F61" s="44">
        <f t="shared" si="0"/>
        <v>0</v>
      </c>
      <c r="G61" s="29">
        <f t="shared" si="1"/>
        <v>0</v>
      </c>
      <c r="H61" s="29">
        <f t="shared" si="3"/>
        <v>0</v>
      </c>
      <c r="I61" s="29">
        <f t="shared" si="4"/>
        <v>0</v>
      </c>
      <c r="J61" s="29">
        <f t="shared" si="5"/>
        <v>0</v>
      </c>
      <c r="K61" s="41"/>
      <c r="L61" s="41"/>
      <c r="M61" s="41"/>
      <c r="N61" s="41"/>
      <c r="Q61" s="14"/>
    </row>
    <row r="62" spans="1:17" x14ac:dyDescent="0.2">
      <c r="B62" s="1">
        <v>42</v>
      </c>
      <c r="C62" s="13">
        <f t="shared" si="2"/>
        <v>45747</v>
      </c>
      <c r="D62" s="46" t="str">
        <f>IF(COUNTIFS('PAYG INDICATIVE OPTIONS'!$U$4:$X$9,'Loan Repayment Input Sheet'!B62)&gt;0,0,"")</f>
        <v/>
      </c>
      <c r="E62" s="27" t="str">
        <f>IF(COUNTIFS('PAYG INDICATIVE OPTIONS'!$X$4:$X$9,'Loan Repayment Input Sheet'!B62)&gt;0,0,"")</f>
        <v/>
      </c>
      <c r="F62" s="44">
        <f t="shared" si="0"/>
        <v>0</v>
      </c>
      <c r="G62" s="29">
        <f t="shared" si="1"/>
        <v>0</v>
      </c>
      <c r="H62" s="29">
        <f t="shared" si="3"/>
        <v>0</v>
      </c>
      <c r="I62" s="29">
        <f t="shared" si="4"/>
        <v>0</v>
      </c>
      <c r="J62" s="29">
        <f t="shared" si="5"/>
        <v>0</v>
      </c>
      <c r="K62" s="41"/>
      <c r="L62" s="41"/>
      <c r="M62" s="41"/>
      <c r="N62" s="41"/>
      <c r="Q62" s="14"/>
    </row>
    <row r="63" spans="1:17" x14ac:dyDescent="0.2">
      <c r="B63" s="1">
        <v>43</v>
      </c>
      <c r="C63" s="13">
        <f t="shared" si="2"/>
        <v>45777</v>
      </c>
      <c r="D63" s="46" t="str">
        <f>IF(COUNTIFS('PAYG INDICATIVE OPTIONS'!$U$4:$X$9,'Loan Repayment Input Sheet'!B63)&gt;0,0,"")</f>
        <v/>
      </c>
      <c r="E63" s="27" t="str">
        <f>IF(COUNTIFS('PAYG INDICATIVE OPTIONS'!$X$4:$X$9,'Loan Repayment Input Sheet'!B63)&gt;0,0,"")</f>
        <v/>
      </c>
      <c r="F63" s="44">
        <f t="shared" si="0"/>
        <v>0</v>
      </c>
      <c r="G63" s="29">
        <f t="shared" si="1"/>
        <v>0</v>
      </c>
      <c r="H63" s="29">
        <f t="shared" si="3"/>
        <v>0</v>
      </c>
      <c r="I63" s="29">
        <f t="shared" si="4"/>
        <v>0</v>
      </c>
      <c r="J63" s="29">
        <f t="shared" si="5"/>
        <v>0</v>
      </c>
      <c r="K63" s="41"/>
      <c r="L63" s="41"/>
      <c r="M63" s="41"/>
      <c r="N63" s="41"/>
      <c r="Q63" s="14"/>
    </row>
    <row r="64" spans="1:17" x14ac:dyDescent="0.2">
      <c r="B64" s="1">
        <v>44</v>
      </c>
      <c r="C64" s="13">
        <f t="shared" si="2"/>
        <v>45808</v>
      </c>
      <c r="D64" s="46" t="str">
        <f>IF(COUNTIFS('PAYG INDICATIVE OPTIONS'!$U$4:$X$9,'Loan Repayment Input Sheet'!B64)&gt;0,0,"")</f>
        <v/>
      </c>
      <c r="E64" s="27" t="str">
        <f>IF(COUNTIFS('PAYG INDICATIVE OPTIONS'!$X$4:$X$9,'Loan Repayment Input Sheet'!B64)&gt;0,0,"")</f>
        <v/>
      </c>
      <c r="F64" s="44">
        <f t="shared" si="0"/>
        <v>0</v>
      </c>
      <c r="G64" s="29">
        <f t="shared" si="1"/>
        <v>0</v>
      </c>
      <c r="H64" s="29">
        <f t="shared" si="3"/>
        <v>0</v>
      </c>
      <c r="I64" s="29">
        <f t="shared" si="4"/>
        <v>0</v>
      </c>
      <c r="J64" s="29">
        <f t="shared" si="5"/>
        <v>0</v>
      </c>
      <c r="K64" s="41"/>
      <c r="L64" s="41"/>
      <c r="M64" s="41"/>
      <c r="N64" s="41"/>
      <c r="Q64" s="14"/>
    </row>
    <row r="65" spans="1:17" x14ac:dyDescent="0.2">
      <c r="A65" s="1" t="str">
        <f>IF($A$18=1,"",IF($A$18=3,12))</f>
        <v/>
      </c>
      <c r="B65" s="1">
        <v>45</v>
      </c>
      <c r="C65" s="13">
        <f t="shared" si="2"/>
        <v>45838</v>
      </c>
      <c r="D65" s="46" t="str">
        <f>IF(COUNTIFS('PAYG INDICATIVE OPTIONS'!$U$4:$X$9,'Loan Repayment Input Sheet'!B65)&gt;0,0,"")</f>
        <v/>
      </c>
      <c r="E65" s="27" t="str">
        <f>IF(COUNTIFS('PAYG INDICATIVE OPTIONS'!$X$4:$X$9,'Loan Repayment Input Sheet'!B65)&gt;0,0,"")</f>
        <v/>
      </c>
      <c r="F65" s="44">
        <f t="shared" si="0"/>
        <v>0</v>
      </c>
      <c r="G65" s="29">
        <f t="shared" si="1"/>
        <v>0</v>
      </c>
      <c r="H65" s="29">
        <f t="shared" si="3"/>
        <v>0</v>
      </c>
      <c r="I65" s="29">
        <f t="shared" si="4"/>
        <v>0</v>
      </c>
      <c r="J65" s="29">
        <f t="shared" si="5"/>
        <v>0</v>
      </c>
      <c r="K65" s="41"/>
      <c r="L65" s="41"/>
      <c r="M65" s="41"/>
      <c r="N65" s="41"/>
      <c r="Q65" s="14"/>
    </row>
    <row r="66" spans="1:17" x14ac:dyDescent="0.2">
      <c r="B66" s="1">
        <v>46</v>
      </c>
      <c r="C66" s="13">
        <f t="shared" si="2"/>
        <v>45869</v>
      </c>
      <c r="D66" s="46" t="str">
        <f>IF(COUNTIFS('PAYG INDICATIVE OPTIONS'!$U$4:$X$9,'Loan Repayment Input Sheet'!B66)&gt;0,0,"")</f>
        <v/>
      </c>
      <c r="E66" s="27" t="str">
        <f>IF(COUNTIFS('PAYG INDICATIVE OPTIONS'!$X$4:$X$9,'Loan Repayment Input Sheet'!B66)&gt;0,0,"")</f>
        <v/>
      </c>
      <c r="F66" s="44">
        <f t="shared" si="0"/>
        <v>0</v>
      </c>
      <c r="G66" s="29">
        <f t="shared" si="1"/>
        <v>0</v>
      </c>
      <c r="H66" s="29">
        <f t="shared" si="3"/>
        <v>0</v>
      </c>
      <c r="I66" s="29">
        <f t="shared" si="4"/>
        <v>0</v>
      </c>
      <c r="J66" s="29">
        <f t="shared" si="5"/>
        <v>0</v>
      </c>
      <c r="K66" s="41"/>
      <c r="L66" s="41"/>
      <c r="M66" s="41"/>
      <c r="N66" s="41"/>
      <c r="Q66" s="14"/>
    </row>
    <row r="67" spans="1:17" x14ac:dyDescent="0.2">
      <c r="B67" s="1">
        <v>47</v>
      </c>
      <c r="C67" s="13">
        <f t="shared" si="2"/>
        <v>45900</v>
      </c>
      <c r="D67" s="46" t="str">
        <f>IF(COUNTIFS('PAYG INDICATIVE OPTIONS'!$U$4:$X$9,'Loan Repayment Input Sheet'!B67)&gt;0,0,"")</f>
        <v/>
      </c>
      <c r="E67" s="27" t="str">
        <f>IF(COUNTIFS('PAYG INDICATIVE OPTIONS'!$X$4:$X$9,'Loan Repayment Input Sheet'!B67)&gt;0,0,"")</f>
        <v/>
      </c>
      <c r="F67" s="44">
        <f t="shared" si="0"/>
        <v>0</v>
      </c>
      <c r="G67" s="29">
        <f t="shared" si="1"/>
        <v>0</v>
      </c>
      <c r="H67" s="29">
        <f t="shared" si="3"/>
        <v>0</v>
      </c>
      <c r="I67" s="29">
        <f t="shared" si="4"/>
        <v>0</v>
      </c>
      <c r="J67" s="29">
        <f t="shared" si="5"/>
        <v>0</v>
      </c>
      <c r="K67" s="41"/>
      <c r="L67" s="41"/>
      <c r="M67" s="41"/>
      <c r="N67" s="41"/>
      <c r="Q67" s="14"/>
    </row>
    <row r="68" spans="1:17" x14ac:dyDescent="0.2">
      <c r="B68" s="1">
        <v>48</v>
      </c>
      <c r="C68" s="13">
        <f t="shared" si="2"/>
        <v>45930</v>
      </c>
      <c r="D68" s="46" t="str">
        <f>IF(COUNTIFS('PAYG INDICATIVE OPTIONS'!$U$4:$X$9,'Loan Repayment Input Sheet'!B68)&gt;0,0,"")</f>
        <v/>
      </c>
      <c r="E68" s="27" t="str">
        <f>IF(COUNTIFS('PAYG INDICATIVE OPTIONS'!$X$4:$X$9,'Loan Repayment Input Sheet'!B68)&gt;0,0,"")</f>
        <v/>
      </c>
      <c r="F68" s="44">
        <f t="shared" si="0"/>
        <v>0</v>
      </c>
      <c r="G68" s="29">
        <f t="shared" si="1"/>
        <v>0</v>
      </c>
      <c r="H68" s="29">
        <f t="shared" si="3"/>
        <v>0</v>
      </c>
      <c r="I68" s="29">
        <f t="shared" si="4"/>
        <v>0</v>
      </c>
      <c r="J68" s="29">
        <f t="shared" si="5"/>
        <v>0</v>
      </c>
      <c r="K68" s="41"/>
      <c r="L68" s="41"/>
      <c r="M68" s="41"/>
      <c r="N68" s="41"/>
      <c r="Q68" s="14"/>
    </row>
    <row r="69" spans="1:17" x14ac:dyDescent="0.2">
      <c r="A69" s="1">
        <f>IF($A$18=1,5,IF($A$18=3,13))</f>
        <v>5</v>
      </c>
      <c r="B69" s="1">
        <v>49</v>
      </c>
      <c r="C69" s="13">
        <f t="shared" si="2"/>
        <v>45961</v>
      </c>
      <c r="D69" s="46" t="str">
        <f>IF(COUNTIFS('PAYG INDICATIVE OPTIONS'!$U$4:$X$9,'Loan Repayment Input Sheet'!B69)&gt;0,0,"")</f>
        <v/>
      </c>
      <c r="E69" s="27" t="str">
        <f>IF(COUNTIFS('PAYG INDICATIVE OPTIONS'!$X$4:$X$9,'Loan Repayment Input Sheet'!B69)&gt;0,0,"")</f>
        <v/>
      </c>
      <c r="F69" s="44">
        <f t="shared" si="0"/>
        <v>0</v>
      </c>
      <c r="G69" s="29">
        <f t="shared" si="1"/>
        <v>0</v>
      </c>
      <c r="H69" s="29">
        <f t="shared" si="3"/>
        <v>0</v>
      </c>
      <c r="I69" s="29">
        <f t="shared" si="4"/>
        <v>0</v>
      </c>
      <c r="J69" s="29">
        <f t="shared" si="5"/>
        <v>0</v>
      </c>
      <c r="K69" s="41"/>
      <c r="L69" s="41"/>
      <c r="M69" s="41"/>
      <c r="N69" s="41"/>
      <c r="Q69" s="14"/>
    </row>
    <row r="70" spans="1:17" x14ac:dyDescent="0.2">
      <c r="B70" s="1">
        <v>50</v>
      </c>
      <c r="C70" s="13">
        <f t="shared" si="2"/>
        <v>45991</v>
      </c>
      <c r="D70" s="46" t="str">
        <f>IF(COUNTIFS('PAYG INDICATIVE OPTIONS'!$U$4:$X$9,'Loan Repayment Input Sheet'!B70)&gt;0,0,"")</f>
        <v/>
      </c>
      <c r="E70" s="27" t="str">
        <f>IF(COUNTIFS('PAYG INDICATIVE OPTIONS'!$X$4:$X$9,'Loan Repayment Input Sheet'!B70)&gt;0,0,"")</f>
        <v/>
      </c>
      <c r="F70" s="44">
        <f t="shared" si="0"/>
        <v>0</v>
      </c>
      <c r="G70" s="29">
        <f t="shared" si="1"/>
        <v>0</v>
      </c>
      <c r="H70" s="29">
        <f t="shared" si="3"/>
        <v>0</v>
      </c>
      <c r="I70" s="29">
        <f t="shared" si="4"/>
        <v>0</v>
      </c>
      <c r="J70" s="29">
        <f t="shared" si="5"/>
        <v>0</v>
      </c>
      <c r="K70" s="41"/>
      <c r="L70" s="41"/>
      <c r="M70" s="41"/>
      <c r="N70" s="41"/>
      <c r="Q70" s="14"/>
    </row>
    <row r="71" spans="1:17" x14ac:dyDescent="0.2">
      <c r="B71" s="1">
        <v>51</v>
      </c>
      <c r="C71" s="13">
        <f t="shared" si="2"/>
        <v>46022</v>
      </c>
      <c r="D71" s="46" t="str">
        <f>IF(COUNTIFS('PAYG INDICATIVE OPTIONS'!$U$4:$X$9,'Loan Repayment Input Sheet'!B71)&gt;0,0,"")</f>
        <v/>
      </c>
      <c r="E71" s="27" t="str">
        <f>IF(COUNTIFS('PAYG INDICATIVE OPTIONS'!$X$4:$X$9,'Loan Repayment Input Sheet'!B71)&gt;0,0,"")</f>
        <v/>
      </c>
      <c r="F71" s="44">
        <f t="shared" si="0"/>
        <v>0</v>
      </c>
      <c r="G71" s="29">
        <f t="shared" si="1"/>
        <v>0</v>
      </c>
      <c r="H71" s="29">
        <f t="shared" si="3"/>
        <v>0</v>
      </c>
      <c r="I71" s="29">
        <f t="shared" si="4"/>
        <v>0</v>
      </c>
      <c r="J71" s="29">
        <f t="shared" si="5"/>
        <v>0</v>
      </c>
      <c r="K71" s="41"/>
      <c r="L71" s="41"/>
      <c r="M71" s="41"/>
      <c r="N71" s="41"/>
      <c r="Q71" s="14"/>
    </row>
    <row r="72" spans="1:17" x14ac:dyDescent="0.2">
      <c r="B72" s="1">
        <v>52</v>
      </c>
      <c r="C72" s="13">
        <f t="shared" si="2"/>
        <v>46053</v>
      </c>
      <c r="D72" s="46" t="str">
        <f>IF(COUNTIFS('PAYG INDICATIVE OPTIONS'!$U$4:$X$9,'Loan Repayment Input Sheet'!B72)&gt;0,0,"")</f>
        <v/>
      </c>
      <c r="E72" s="27" t="str">
        <f>IF(COUNTIFS('PAYG INDICATIVE OPTIONS'!$X$4:$X$9,'Loan Repayment Input Sheet'!B72)&gt;0,0,"")</f>
        <v/>
      </c>
      <c r="F72" s="44">
        <f t="shared" si="0"/>
        <v>0</v>
      </c>
      <c r="G72" s="29">
        <f t="shared" si="1"/>
        <v>0</v>
      </c>
      <c r="H72" s="29">
        <f t="shared" si="3"/>
        <v>0</v>
      </c>
      <c r="I72" s="29">
        <f t="shared" si="4"/>
        <v>0</v>
      </c>
      <c r="J72" s="29">
        <f t="shared" si="5"/>
        <v>0</v>
      </c>
      <c r="K72" s="41"/>
      <c r="L72" s="41"/>
      <c r="M72" s="41"/>
      <c r="N72" s="41"/>
      <c r="Q72" s="14"/>
    </row>
    <row r="73" spans="1:17" x14ac:dyDescent="0.2">
      <c r="A73" s="1" t="str">
        <f>IF($A$18=1,"",IF($A$18=3,14))</f>
        <v/>
      </c>
      <c r="B73" s="1">
        <v>53</v>
      </c>
      <c r="C73" s="13">
        <f t="shared" si="2"/>
        <v>46081</v>
      </c>
      <c r="D73" s="46" t="str">
        <f>IF(COUNTIFS('PAYG INDICATIVE OPTIONS'!$U$4:$X$9,'Loan Repayment Input Sheet'!B73)&gt;0,0,"")</f>
        <v/>
      </c>
      <c r="E73" s="27" t="str">
        <f>IF(COUNTIFS('PAYG INDICATIVE OPTIONS'!$X$4:$X$9,'Loan Repayment Input Sheet'!B73)&gt;0,0,"")</f>
        <v/>
      </c>
      <c r="F73" s="44">
        <f t="shared" si="0"/>
        <v>0</v>
      </c>
      <c r="G73" s="29">
        <f t="shared" si="1"/>
        <v>0</v>
      </c>
      <c r="H73" s="29">
        <f t="shared" si="3"/>
        <v>0</v>
      </c>
      <c r="I73" s="29">
        <f t="shared" si="4"/>
        <v>0</v>
      </c>
      <c r="J73" s="29">
        <f t="shared" si="5"/>
        <v>0</v>
      </c>
      <c r="K73" s="41"/>
      <c r="L73" s="41"/>
      <c r="M73" s="41"/>
      <c r="N73" s="41"/>
      <c r="Q73" s="14"/>
    </row>
    <row r="74" spans="1:17" x14ac:dyDescent="0.2">
      <c r="B74" s="1">
        <v>54</v>
      </c>
      <c r="C74" s="13">
        <f t="shared" si="2"/>
        <v>46112</v>
      </c>
      <c r="D74" s="46" t="str">
        <f>IF(COUNTIFS('PAYG INDICATIVE OPTIONS'!$U$4:$X$9,'Loan Repayment Input Sheet'!B74)&gt;0,0,"")</f>
        <v/>
      </c>
      <c r="E74" s="27" t="str">
        <f>IF(COUNTIFS('PAYG INDICATIVE OPTIONS'!$X$4:$X$9,'Loan Repayment Input Sheet'!B74)&gt;0,0,"")</f>
        <v/>
      </c>
      <c r="F74" s="44">
        <f t="shared" si="0"/>
        <v>0</v>
      </c>
      <c r="G74" s="29">
        <f t="shared" si="1"/>
        <v>0</v>
      </c>
      <c r="H74" s="29">
        <f t="shared" si="3"/>
        <v>0</v>
      </c>
      <c r="I74" s="29">
        <f t="shared" si="4"/>
        <v>0</v>
      </c>
      <c r="J74" s="29">
        <f t="shared" si="5"/>
        <v>0</v>
      </c>
      <c r="K74" s="41"/>
      <c r="L74" s="41"/>
      <c r="M74" s="41"/>
      <c r="N74" s="41"/>
      <c r="Q74" s="14"/>
    </row>
    <row r="75" spans="1:17" x14ac:dyDescent="0.2">
      <c r="B75" s="1">
        <v>55</v>
      </c>
      <c r="C75" s="13">
        <f t="shared" si="2"/>
        <v>46142</v>
      </c>
      <c r="D75" s="46" t="str">
        <f>IF(COUNTIFS('PAYG INDICATIVE OPTIONS'!$U$4:$X$9,'Loan Repayment Input Sheet'!B75)&gt;0,0,"")</f>
        <v/>
      </c>
      <c r="E75" s="27" t="str">
        <f>IF(COUNTIFS('PAYG INDICATIVE OPTIONS'!$X$4:$X$9,'Loan Repayment Input Sheet'!B75)&gt;0,0,"")</f>
        <v/>
      </c>
      <c r="F75" s="44">
        <f t="shared" si="0"/>
        <v>0</v>
      </c>
      <c r="G75" s="29">
        <f t="shared" si="1"/>
        <v>0</v>
      </c>
      <c r="H75" s="29">
        <f t="shared" si="3"/>
        <v>0</v>
      </c>
      <c r="I75" s="29">
        <f t="shared" si="4"/>
        <v>0</v>
      </c>
      <c r="J75" s="29">
        <f t="shared" si="5"/>
        <v>0</v>
      </c>
      <c r="K75" s="41"/>
      <c r="L75" s="41"/>
      <c r="M75" s="41"/>
      <c r="N75" s="41"/>
      <c r="Q75" s="14"/>
    </row>
    <row r="76" spans="1:17" x14ac:dyDescent="0.2">
      <c r="B76" s="1">
        <v>56</v>
      </c>
      <c r="C76" s="13">
        <f t="shared" si="2"/>
        <v>46173</v>
      </c>
      <c r="D76" s="46" t="str">
        <f>IF(COUNTIFS('PAYG INDICATIVE OPTIONS'!$U$4:$X$9,'Loan Repayment Input Sheet'!B76)&gt;0,0,"")</f>
        <v/>
      </c>
      <c r="E76" s="27" t="str">
        <f>IF(COUNTIFS('PAYG INDICATIVE OPTIONS'!$X$4:$X$9,'Loan Repayment Input Sheet'!B76)&gt;0,0,"")</f>
        <v/>
      </c>
      <c r="F76" s="44">
        <f t="shared" si="0"/>
        <v>0</v>
      </c>
      <c r="G76" s="29">
        <f t="shared" si="1"/>
        <v>0</v>
      </c>
      <c r="H76" s="29">
        <f t="shared" si="3"/>
        <v>0</v>
      </c>
      <c r="I76" s="29">
        <f t="shared" si="4"/>
        <v>0</v>
      </c>
      <c r="J76" s="29">
        <f t="shared" si="5"/>
        <v>0</v>
      </c>
      <c r="K76" s="41"/>
      <c r="L76" s="41"/>
      <c r="M76" s="41"/>
      <c r="N76" s="41"/>
      <c r="Q76" s="14"/>
    </row>
    <row r="77" spans="1:17" x14ac:dyDescent="0.2">
      <c r="A77" s="1" t="str">
        <f>IF($A$18=1,"",IF($A$18=3,15))</f>
        <v/>
      </c>
      <c r="B77" s="1">
        <v>57</v>
      </c>
      <c r="C77" s="13">
        <f t="shared" si="2"/>
        <v>46203</v>
      </c>
      <c r="D77" s="46" t="str">
        <f>IF(COUNTIFS('PAYG INDICATIVE OPTIONS'!$U$4:$X$9,'Loan Repayment Input Sheet'!B77)&gt;0,0,"")</f>
        <v/>
      </c>
      <c r="E77" s="27" t="str">
        <f>IF(COUNTIFS('PAYG INDICATIVE OPTIONS'!$X$4:$X$9,'Loan Repayment Input Sheet'!B77)&gt;0,0,"")</f>
        <v/>
      </c>
      <c r="F77" s="44">
        <f t="shared" si="0"/>
        <v>0</v>
      </c>
      <c r="G77" s="29">
        <f t="shared" si="1"/>
        <v>0</v>
      </c>
      <c r="H77" s="29">
        <f t="shared" si="3"/>
        <v>0</v>
      </c>
      <c r="I77" s="29">
        <f t="shared" si="4"/>
        <v>0</v>
      </c>
      <c r="J77" s="29">
        <f t="shared" si="5"/>
        <v>0</v>
      </c>
      <c r="K77" s="41"/>
      <c r="L77" s="41"/>
      <c r="M77" s="41"/>
      <c r="N77" s="41"/>
      <c r="Q77" s="14"/>
    </row>
    <row r="78" spans="1:17" x14ac:dyDescent="0.2">
      <c r="B78" s="1">
        <v>58</v>
      </c>
      <c r="C78" s="13">
        <f t="shared" si="2"/>
        <v>46234</v>
      </c>
      <c r="D78" s="46" t="str">
        <f>IF(COUNTIFS('PAYG INDICATIVE OPTIONS'!$U$4:$X$9,'Loan Repayment Input Sheet'!B78)&gt;0,0,"")</f>
        <v/>
      </c>
      <c r="E78" s="27" t="str">
        <f>IF(COUNTIFS('PAYG INDICATIVE OPTIONS'!$X$4:$X$9,'Loan Repayment Input Sheet'!B78)&gt;0,0,"")</f>
        <v/>
      </c>
      <c r="F78" s="44">
        <f t="shared" si="0"/>
        <v>0</v>
      </c>
      <c r="G78" s="29">
        <f t="shared" si="1"/>
        <v>0</v>
      </c>
      <c r="H78" s="29">
        <f t="shared" si="3"/>
        <v>0</v>
      </c>
      <c r="I78" s="29">
        <f t="shared" si="4"/>
        <v>0</v>
      </c>
      <c r="J78" s="29">
        <f t="shared" si="5"/>
        <v>0</v>
      </c>
      <c r="K78" s="41"/>
      <c r="L78" s="41"/>
      <c r="M78" s="41"/>
      <c r="N78" s="41"/>
      <c r="Q78" s="14"/>
    </row>
    <row r="79" spans="1:17" x14ac:dyDescent="0.2">
      <c r="B79" s="1">
        <v>59</v>
      </c>
      <c r="C79" s="13">
        <f t="shared" si="2"/>
        <v>46265</v>
      </c>
      <c r="D79" s="46" t="str">
        <f>IF(COUNTIFS('PAYG INDICATIVE OPTIONS'!$U$4:$X$9,'Loan Repayment Input Sheet'!B79)&gt;0,0,"")</f>
        <v/>
      </c>
      <c r="E79" s="27" t="str">
        <f>IF(COUNTIFS('PAYG INDICATIVE OPTIONS'!$X$4:$X$9,'Loan Repayment Input Sheet'!B79)&gt;0,0,"")</f>
        <v/>
      </c>
      <c r="F79" s="44">
        <f t="shared" si="0"/>
        <v>0</v>
      </c>
      <c r="G79" s="29">
        <f t="shared" si="1"/>
        <v>0</v>
      </c>
      <c r="H79" s="29">
        <f t="shared" si="3"/>
        <v>0</v>
      </c>
      <c r="I79" s="29">
        <f t="shared" si="4"/>
        <v>0</v>
      </c>
      <c r="J79" s="29">
        <f t="shared" si="5"/>
        <v>0</v>
      </c>
      <c r="K79" s="41"/>
      <c r="L79" s="41"/>
      <c r="M79" s="41"/>
      <c r="N79" s="41"/>
      <c r="Q79" s="14"/>
    </row>
    <row r="80" spans="1:17" x14ac:dyDescent="0.2">
      <c r="B80" s="1">
        <v>60</v>
      </c>
      <c r="C80" s="13">
        <f t="shared" si="2"/>
        <v>46295</v>
      </c>
      <c r="D80" s="46" t="str">
        <f>IF(COUNTIFS('PAYG INDICATIVE OPTIONS'!$U$4:$X$9,'Loan Repayment Input Sheet'!B80)&gt;0,0,"")</f>
        <v/>
      </c>
      <c r="E80" s="27" t="str">
        <f>IF(COUNTIFS('PAYG INDICATIVE OPTIONS'!$X$4:$X$9,'Loan Repayment Input Sheet'!B80)&gt;0,0,"")</f>
        <v/>
      </c>
      <c r="F80" s="44">
        <f t="shared" si="0"/>
        <v>0</v>
      </c>
      <c r="G80" s="29">
        <f t="shared" si="1"/>
        <v>0</v>
      </c>
      <c r="H80" s="29">
        <f t="shared" si="3"/>
        <v>0</v>
      </c>
      <c r="I80" s="29">
        <f t="shared" si="4"/>
        <v>0</v>
      </c>
      <c r="J80" s="29">
        <f t="shared" si="5"/>
        <v>0</v>
      </c>
      <c r="K80" s="41"/>
      <c r="L80" s="41"/>
      <c r="M80" s="41"/>
      <c r="N80" s="41"/>
      <c r="Q80" s="14"/>
    </row>
    <row r="81" spans="1:17" x14ac:dyDescent="0.2">
      <c r="A81" s="1">
        <f>IF($A$18=1,6,IF($A$18=3,16))</f>
        <v>6</v>
      </c>
      <c r="B81" s="1">
        <v>61</v>
      </c>
      <c r="C81" s="13">
        <f>EOMONTH(C80,$A$18)</f>
        <v>46326</v>
      </c>
      <c r="D81" s="46" t="str">
        <f>IF(COUNTIFS('PAYG INDICATIVE OPTIONS'!$U$4:$X$9,'Loan Repayment Input Sheet'!B81)&gt;0,0,"")</f>
        <v/>
      </c>
      <c r="E81" s="27" t="str">
        <f>IF(COUNTIFS('PAYG INDICATIVE OPTIONS'!$X$4:$X$9,'Loan Repayment Input Sheet'!B81)&gt;0,0,"")</f>
        <v/>
      </c>
      <c r="F81" s="44">
        <f t="shared" si="0"/>
        <v>0</v>
      </c>
      <c r="G81" s="29">
        <f t="shared" si="1"/>
        <v>0</v>
      </c>
      <c r="H81" s="29">
        <f t="shared" si="3"/>
        <v>0</v>
      </c>
      <c r="I81" s="29">
        <f t="shared" si="4"/>
        <v>0</v>
      </c>
      <c r="J81" s="29">
        <f t="shared" si="5"/>
        <v>0</v>
      </c>
      <c r="K81" s="41"/>
      <c r="L81" s="41"/>
      <c r="M81" s="41"/>
      <c r="N81" s="41"/>
      <c r="Q81" s="14"/>
    </row>
    <row r="82" spans="1:17" x14ac:dyDescent="0.2">
      <c r="B82" s="1">
        <v>62</v>
      </c>
      <c r="C82" s="13">
        <f t="shared" ref="C82:C145" si="6">EOMONTH(C81,$A$18)</f>
        <v>46356</v>
      </c>
      <c r="D82" s="46" t="str">
        <f>IF(COUNTIFS('PAYG INDICATIVE OPTIONS'!$U$4:$X$9,'Loan Repayment Input Sheet'!B82)&gt;0,0,"")</f>
        <v/>
      </c>
      <c r="E82" s="27" t="str">
        <f>IF(COUNTIFS('PAYG INDICATIVE OPTIONS'!$X$4:$X$9,'Loan Repayment Input Sheet'!B82)&gt;0,0,"")</f>
        <v/>
      </c>
      <c r="F82" s="44">
        <f t="shared" si="0"/>
        <v>0</v>
      </c>
      <c r="G82" s="29">
        <f t="shared" si="1"/>
        <v>0</v>
      </c>
      <c r="H82" s="29">
        <f t="shared" si="3"/>
        <v>0</v>
      </c>
      <c r="I82" s="29">
        <f t="shared" si="4"/>
        <v>0</v>
      </c>
      <c r="J82" s="29">
        <f t="shared" si="5"/>
        <v>0</v>
      </c>
      <c r="K82" s="41"/>
      <c r="L82" s="41"/>
      <c r="M82" s="41"/>
      <c r="N82" s="41"/>
      <c r="Q82" s="14"/>
    </row>
    <row r="83" spans="1:17" x14ac:dyDescent="0.2">
      <c r="B83" s="1">
        <v>63</v>
      </c>
      <c r="C83" s="13">
        <f t="shared" si="6"/>
        <v>46387</v>
      </c>
      <c r="D83" s="46" t="str">
        <f>IF(COUNTIFS('PAYG INDICATIVE OPTIONS'!$U$4:$X$9,'Loan Repayment Input Sheet'!B83)&gt;0,0,"")</f>
        <v/>
      </c>
      <c r="E83" s="27" t="str">
        <f>IF(COUNTIFS('PAYG INDICATIVE OPTIONS'!$X$4:$X$9,'Loan Repayment Input Sheet'!B83)&gt;0,0,"")</f>
        <v/>
      </c>
      <c r="F83" s="44">
        <f t="shared" si="0"/>
        <v>0</v>
      </c>
      <c r="G83" s="29">
        <f t="shared" si="1"/>
        <v>0</v>
      </c>
      <c r="H83" s="29">
        <f t="shared" si="3"/>
        <v>0</v>
      </c>
      <c r="I83" s="29">
        <f t="shared" si="4"/>
        <v>0</v>
      </c>
      <c r="J83" s="29">
        <f t="shared" si="5"/>
        <v>0</v>
      </c>
      <c r="K83" s="41"/>
      <c r="L83" s="41"/>
      <c r="M83" s="41"/>
      <c r="N83" s="41"/>
      <c r="Q83" s="14"/>
    </row>
    <row r="84" spans="1:17" x14ac:dyDescent="0.2">
      <c r="B84" s="1">
        <v>64</v>
      </c>
      <c r="C84" s="13">
        <f t="shared" si="6"/>
        <v>46418</v>
      </c>
      <c r="D84" s="46" t="str">
        <f>IF(COUNTIFS('PAYG INDICATIVE OPTIONS'!$U$4:$X$9,'Loan Repayment Input Sheet'!B84)&gt;0,0,"")</f>
        <v/>
      </c>
      <c r="E84" s="27" t="str">
        <f>IF(COUNTIFS('PAYG INDICATIVE OPTIONS'!$X$4:$X$9,'Loan Repayment Input Sheet'!B84)&gt;0,0,"")</f>
        <v/>
      </c>
      <c r="F84" s="44">
        <f t="shared" si="0"/>
        <v>0</v>
      </c>
      <c r="G84" s="29">
        <f t="shared" si="1"/>
        <v>0</v>
      </c>
      <c r="H84" s="29">
        <f t="shared" si="3"/>
        <v>0</v>
      </c>
      <c r="I84" s="29">
        <f t="shared" si="4"/>
        <v>0</v>
      </c>
      <c r="J84" s="29">
        <f t="shared" si="5"/>
        <v>0</v>
      </c>
      <c r="K84" s="41"/>
      <c r="L84" s="41"/>
      <c r="M84" s="41"/>
      <c r="N84" s="41"/>
      <c r="Q84" s="14"/>
    </row>
    <row r="85" spans="1:17" s="16" customFormat="1" x14ac:dyDescent="0.2">
      <c r="A85" s="1" t="str">
        <f>IF($A$18=1,"",IF($A$18=3,17))</f>
        <v/>
      </c>
      <c r="B85" s="1">
        <v>65</v>
      </c>
      <c r="C85" s="13">
        <f t="shared" si="6"/>
        <v>46446</v>
      </c>
      <c r="D85" s="46" t="str">
        <f>IF(COUNTIFS('PAYG INDICATIVE OPTIONS'!$U$4:$X$9,'Loan Repayment Input Sheet'!B85)&gt;0,0,"")</f>
        <v/>
      </c>
      <c r="E85" s="27" t="str">
        <f>IF(COUNTIFS('PAYG INDICATIVE OPTIONS'!$X$4:$X$9,'Loan Repayment Input Sheet'!B85)&gt;0,0,"")</f>
        <v/>
      </c>
      <c r="F85" s="44">
        <f t="shared" ref="F85:F148" si="7">IF(AND($H$10="Yes",$C85&lt;$H$11),J84*$H$12/$M$5,J84*$M$8/$M$5)</f>
        <v>0</v>
      </c>
      <c r="G85" s="29">
        <f t="shared" ref="G85:G148" si="8">IF(E85="",IF(AND($H$10="Yes",$C85&lt;$H$11),J84*$H$12/$M$5,J84*$M$8/$M$5),E85)</f>
        <v>0</v>
      </c>
      <c r="H85" s="29">
        <f t="shared" si="3"/>
        <v>0</v>
      </c>
      <c r="I85" s="29">
        <f t="shared" si="4"/>
        <v>0</v>
      </c>
      <c r="J85" s="29">
        <f t="shared" si="5"/>
        <v>0</v>
      </c>
      <c r="K85" s="41"/>
      <c r="L85" s="41"/>
      <c r="M85" s="41"/>
      <c r="N85" s="41"/>
      <c r="P85" s="2"/>
      <c r="Q85" s="14"/>
    </row>
    <row r="86" spans="1:17" x14ac:dyDescent="0.2">
      <c r="B86" s="1">
        <v>66</v>
      </c>
      <c r="C86" s="13">
        <f t="shared" si="6"/>
        <v>46477</v>
      </c>
      <c r="D86" s="46" t="str">
        <f>IF(COUNTIFS('PAYG INDICATIVE OPTIONS'!$U$4:$X$9,'Loan Repayment Input Sheet'!B86)&gt;0,0,"")</f>
        <v/>
      </c>
      <c r="E86" s="27" t="str">
        <f>IF(COUNTIFS('PAYG INDICATIVE OPTIONS'!$X$4:$X$9,'Loan Repayment Input Sheet'!B86)&gt;0,0,"")</f>
        <v/>
      </c>
      <c r="F86" s="44">
        <f t="shared" si="7"/>
        <v>0</v>
      </c>
      <c r="G86" s="29">
        <f t="shared" si="8"/>
        <v>0</v>
      </c>
      <c r="H86" s="29">
        <f t="shared" ref="H86:H149" si="9">IF(D86="",I86-G86,D86)</f>
        <v>0</v>
      </c>
      <c r="I86" s="29">
        <f t="shared" ref="I86:I149" si="10">IF(D86&lt;&gt;"",
D86+G86,
IF($H$14&lt;&gt;"",
$H$14,
IF($H$15&lt;&gt;"",
$H$15+G86,
IF(AND($H$10="Yes",$C86&lt;$H$11),
IF(ISERROR(ABS(PMT($H$12/$M$5,$M$6-B85,J85))),0,ABS(PMT($H$12/$M$5,$M$6-B85,J85))),
IF(ISERROR(ABS(PMT($M$8/$M$5,$M$6-B85,J85))),0,ABS(PMT($M$8/$M$5,$M$6-B85,J85)))))))</f>
        <v>0</v>
      </c>
      <c r="J86" s="29">
        <f t="shared" ref="J86:J149" si="11">J85-(I86-F86)</f>
        <v>0</v>
      </c>
      <c r="K86" s="41"/>
      <c r="L86" s="41"/>
      <c r="M86" s="41"/>
      <c r="N86" s="41"/>
      <c r="Q86" s="14"/>
    </row>
    <row r="87" spans="1:17" x14ac:dyDescent="0.2">
      <c r="B87" s="1">
        <v>67</v>
      </c>
      <c r="C87" s="13">
        <f t="shared" si="6"/>
        <v>46507</v>
      </c>
      <c r="D87" s="46" t="str">
        <f>IF(COUNTIFS('PAYG INDICATIVE OPTIONS'!$U$4:$X$9,'Loan Repayment Input Sheet'!B87)&gt;0,0,"")</f>
        <v/>
      </c>
      <c r="E87" s="27" t="str">
        <f>IF(COUNTIFS('PAYG INDICATIVE OPTIONS'!$X$4:$X$9,'Loan Repayment Input Sheet'!B87)&gt;0,0,"")</f>
        <v/>
      </c>
      <c r="F87" s="44">
        <f t="shared" si="7"/>
        <v>0</v>
      </c>
      <c r="G87" s="29">
        <f t="shared" si="8"/>
        <v>0</v>
      </c>
      <c r="H87" s="29">
        <f t="shared" si="9"/>
        <v>0</v>
      </c>
      <c r="I87" s="29">
        <f t="shared" si="10"/>
        <v>0</v>
      </c>
      <c r="J87" s="29">
        <f t="shared" si="11"/>
        <v>0</v>
      </c>
      <c r="K87" s="41"/>
      <c r="L87" s="41"/>
      <c r="M87" s="41"/>
      <c r="N87" s="41"/>
      <c r="Q87" s="14"/>
    </row>
    <row r="88" spans="1:17" x14ac:dyDescent="0.2">
      <c r="B88" s="1">
        <v>68</v>
      </c>
      <c r="C88" s="13">
        <f t="shared" si="6"/>
        <v>46538</v>
      </c>
      <c r="D88" s="46" t="str">
        <f>IF(COUNTIFS('PAYG INDICATIVE OPTIONS'!$U$4:$X$9,'Loan Repayment Input Sheet'!B88)&gt;0,0,"")</f>
        <v/>
      </c>
      <c r="E88" s="27" t="str">
        <f>IF(COUNTIFS('PAYG INDICATIVE OPTIONS'!$X$4:$X$9,'Loan Repayment Input Sheet'!B88)&gt;0,0,"")</f>
        <v/>
      </c>
      <c r="F88" s="44">
        <f t="shared" si="7"/>
        <v>0</v>
      </c>
      <c r="G88" s="29">
        <f t="shared" si="8"/>
        <v>0</v>
      </c>
      <c r="H88" s="29">
        <f t="shared" si="9"/>
        <v>0</v>
      </c>
      <c r="I88" s="29">
        <f t="shared" si="10"/>
        <v>0</v>
      </c>
      <c r="J88" s="29">
        <f t="shared" si="11"/>
        <v>0</v>
      </c>
      <c r="K88" s="41"/>
      <c r="L88" s="41"/>
      <c r="M88" s="41"/>
      <c r="N88" s="41"/>
      <c r="Q88" s="14"/>
    </row>
    <row r="89" spans="1:17" x14ac:dyDescent="0.2">
      <c r="A89" s="1" t="str">
        <f>IF($A$18=1,"",IF($A$18=3,18))</f>
        <v/>
      </c>
      <c r="B89" s="1">
        <v>69</v>
      </c>
      <c r="C89" s="13">
        <f t="shared" si="6"/>
        <v>46568</v>
      </c>
      <c r="D89" s="46" t="str">
        <f>IF(COUNTIFS('PAYG INDICATIVE OPTIONS'!$U$4:$X$9,'Loan Repayment Input Sheet'!B89)&gt;0,0,"")</f>
        <v/>
      </c>
      <c r="E89" s="27" t="str">
        <f>IF(COUNTIFS('PAYG INDICATIVE OPTIONS'!$X$4:$X$9,'Loan Repayment Input Sheet'!B89)&gt;0,0,"")</f>
        <v/>
      </c>
      <c r="F89" s="44">
        <f t="shared" si="7"/>
        <v>0</v>
      </c>
      <c r="G89" s="29">
        <f t="shared" si="8"/>
        <v>0</v>
      </c>
      <c r="H89" s="29">
        <f t="shared" si="9"/>
        <v>0</v>
      </c>
      <c r="I89" s="29">
        <f t="shared" si="10"/>
        <v>0</v>
      </c>
      <c r="J89" s="29">
        <f t="shared" si="11"/>
        <v>0</v>
      </c>
      <c r="K89" s="41"/>
      <c r="L89" s="41"/>
      <c r="M89" s="41"/>
      <c r="N89" s="41"/>
      <c r="Q89" s="14"/>
    </row>
    <row r="90" spans="1:17" x14ac:dyDescent="0.2">
      <c r="B90" s="1">
        <v>70</v>
      </c>
      <c r="C90" s="13">
        <f t="shared" si="6"/>
        <v>46599</v>
      </c>
      <c r="D90" s="46" t="str">
        <f>IF(COUNTIFS('PAYG INDICATIVE OPTIONS'!$U$4:$X$9,'Loan Repayment Input Sheet'!B90)&gt;0,0,"")</f>
        <v/>
      </c>
      <c r="E90" s="27" t="str">
        <f>IF(COUNTIFS('PAYG INDICATIVE OPTIONS'!$X$4:$X$9,'Loan Repayment Input Sheet'!B90)&gt;0,0,"")</f>
        <v/>
      </c>
      <c r="F90" s="44">
        <f t="shared" si="7"/>
        <v>0</v>
      </c>
      <c r="G90" s="29">
        <f t="shared" si="8"/>
        <v>0</v>
      </c>
      <c r="H90" s="29">
        <f t="shared" si="9"/>
        <v>0</v>
      </c>
      <c r="I90" s="29">
        <f t="shared" si="10"/>
        <v>0</v>
      </c>
      <c r="J90" s="29">
        <f t="shared" si="11"/>
        <v>0</v>
      </c>
      <c r="K90" s="41"/>
      <c r="L90" s="41"/>
      <c r="M90" s="41"/>
      <c r="N90" s="41"/>
      <c r="Q90" s="14"/>
    </row>
    <row r="91" spans="1:17" x14ac:dyDescent="0.2">
      <c r="B91" s="1">
        <v>71</v>
      </c>
      <c r="C91" s="13">
        <f t="shared" si="6"/>
        <v>46630</v>
      </c>
      <c r="D91" s="46" t="str">
        <f>IF(COUNTIFS('PAYG INDICATIVE OPTIONS'!$U$4:$X$9,'Loan Repayment Input Sheet'!B91)&gt;0,0,"")</f>
        <v/>
      </c>
      <c r="E91" s="27" t="str">
        <f>IF(COUNTIFS('PAYG INDICATIVE OPTIONS'!$X$4:$X$9,'Loan Repayment Input Sheet'!B91)&gt;0,0,"")</f>
        <v/>
      </c>
      <c r="F91" s="44">
        <f t="shared" si="7"/>
        <v>0</v>
      </c>
      <c r="G91" s="29">
        <f t="shared" si="8"/>
        <v>0</v>
      </c>
      <c r="H91" s="29">
        <f t="shared" si="9"/>
        <v>0</v>
      </c>
      <c r="I91" s="29">
        <f t="shared" si="10"/>
        <v>0</v>
      </c>
      <c r="J91" s="29">
        <f t="shared" si="11"/>
        <v>0</v>
      </c>
      <c r="K91" s="41"/>
      <c r="L91" s="41"/>
      <c r="M91" s="41"/>
      <c r="N91" s="41"/>
      <c r="Q91" s="14"/>
    </row>
    <row r="92" spans="1:17" x14ac:dyDescent="0.2">
      <c r="B92" s="1">
        <v>72</v>
      </c>
      <c r="C92" s="13">
        <f t="shared" si="6"/>
        <v>46660</v>
      </c>
      <c r="D92" s="46" t="str">
        <f>IF(COUNTIFS('PAYG INDICATIVE OPTIONS'!$U$4:$X$9,'Loan Repayment Input Sheet'!B92)&gt;0,0,"")</f>
        <v/>
      </c>
      <c r="E92" s="27" t="str">
        <f>IF(COUNTIFS('PAYG INDICATIVE OPTIONS'!$X$4:$X$9,'Loan Repayment Input Sheet'!B92)&gt;0,0,"")</f>
        <v/>
      </c>
      <c r="F92" s="44">
        <f t="shared" si="7"/>
        <v>0</v>
      </c>
      <c r="G92" s="29">
        <f t="shared" si="8"/>
        <v>0</v>
      </c>
      <c r="H92" s="29">
        <f t="shared" si="9"/>
        <v>0</v>
      </c>
      <c r="I92" s="29">
        <f t="shared" si="10"/>
        <v>0</v>
      </c>
      <c r="J92" s="29">
        <f t="shared" si="11"/>
        <v>0</v>
      </c>
      <c r="K92" s="41"/>
      <c r="L92" s="41"/>
      <c r="M92" s="41"/>
      <c r="N92" s="41"/>
      <c r="Q92" s="14"/>
    </row>
    <row r="93" spans="1:17" x14ac:dyDescent="0.2">
      <c r="A93" s="1">
        <f>IF($A$18=1,7,IF($A$18=3,19))</f>
        <v>7</v>
      </c>
      <c r="B93" s="1">
        <v>73</v>
      </c>
      <c r="C93" s="13">
        <f t="shared" si="6"/>
        <v>46691</v>
      </c>
      <c r="D93" s="46" t="str">
        <f>IF(COUNTIFS('PAYG INDICATIVE OPTIONS'!$U$4:$X$9,'Loan Repayment Input Sheet'!B93)&gt;0,0,"")</f>
        <v/>
      </c>
      <c r="E93" s="27" t="str">
        <f>IF(COUNTIFS('PAYG INDICATIVE OPTIONS'!$X$4:$X$9,'Loan Repayment Input Sheet'!B93)&gt;0,0,"")</f>
        <v/>
      </c>
      <c r="F93" s="44">
        <f t="shared" si="7"/>
        <v>0</v>
      </c>
      <c r="G93" s="29">
        <f t="shared" si="8"/>
        <v>0</v>
      </c>
      <c r="H93" s="29">
        <f t="shared" si="9"/>
        <v>0</v>
      </c>
      <c r="I93" s="29">
        <f t="shared" si="10"/>
        <v>0</v>
      </c>
      <c r="J93" s="29">
        <f t="shared" si="11"/>
        <v>0</v>
      </c>
      <c r="K93" s="41"/>
      <c r="L93" s="41"/>
      <c r="M93" s="41"/>
      <c r="N93" s="41"/>
      <c r="Q93" s="14"/>
    </row>
    <row r="94" spans="1:17" x14ac:dyDescent="0.2">
      <c r="B94" s="1">
        <v>74</v>
      </c>
      <c r="C94" s="13">
        <f t="shared" si="6"/>
        <v>46721</v>
      </c>
      <c r="D94" s="46" t="str">
        <f>IF(COUNTIFS('PAYG INDICATIVE OPTIONS'!$U$4:$X$9,'Loan Repayment Input Sheet'!B94)&gt;0,0,"")</f>
        <v/>
      </c>
      <c r="E94" s="27" t="str">
        <f>IF(COUNTIFS('PAYG INDICATIVE OPTIONS'!$X$4:$X$9,'Loan Repayment Input Sheet'!B94)&gt;0,0,"")</f>
        <v/>
      </c>
      <c r="F94" s="44">
        <f t="shared" si="7"/>
        <v>0</v>
      </c>
      <c r="G94" s="29">
        <f t="shared" si="8"/>
        <v>0</v>
      </c>
      <c r="H94" s="29">
        <f t="shared" si="9"/>
        <v>0</v>
      </c>
      <c r="I94" s="29">
        <f t="shared" si="10"/>
        <v>0</v>
      </c>
      <c r="J94" s="29">
        <f t="shared" si="11"/>
        <v>0</v>
      </c>
      <c r="K94" s="41"/>
      <c r="L94" s="41"/>
      <c r="M94" s="41"/>
      <c r="N94" s="41"/>
      <c r="Q94" s="14"/>
    </row>
    <row r="95" spans="1:17" x14ac:dyDescent="0.2">
      <c r="B95" s="1">
        <v>75</v>
      </c>
      <c r="C95" s="13">
        <f t="shared" si="6"/>
        <v>46752</v>
      </c>
      <c r="D95" s="46" t="str">
        <f>IF(COUNTIFS('PAYG INDICATIVE OPTIONS'!$U$4:$X$9,'Loan Repayment Input Sheet'!B95)&gt;0,0,"")</f>
        <v/>
      </c>
      <c r="E95" s="27" t="str">
        <f>IF(COUNTIFS('PAYG INDICATIVE OPTIONS'!$X$4:$X$9,'Loan Repayment Input Sheet'!B95)&gt;0,0,"")</f>
        <v/>
      </c>
      <c r="F95" s="44">
        <f t="shared" si="7"/>
        <v>0</v>
      </c>
      <c r="G95" s="29">
        <f t="shared" si="8"/>
        <v>0</v>
      </c>
      <c r="H95" s="29">
        <f t="shared" si="9"/>
        <v>0</v>
      </c>
      <c r="I95" s="29">
        <f t="shared" si="10"/>
        <v>0</v>
      </c>
      <c r="J95" s="29">
        <f t="shared" si="11"/>
        <v>0</v>
      </c>
      <c r="K95" s="41"/>
      <c r="L95" s="41"/>
      <c r="M95" s="41"/>
      <c r="N95" s="41"/>
      <c r="Q95" s="14"/>
    </row>
    <row r="96" spans="1:17" x14ac:dyDescent="0.2">
      <c r="B96" s="1">
        <v>76</v>
      </c>
      <c r="C96" s="13">
        <f t="shared" si="6"/>
        <v>46783</v>
      </c>
      <c r="D96" s="46" t="str">
        <f>IF(COUNTIFS('PAYG INDICATIVE OPTIONS'!$U$4:$X$9,'Loan Repayment Input Sheet'!B96)&gt;0,0,"")</f>
        <v/>
      </c>
      <c r="E96" s="27" t="str">
        <f>IF(COUNTIFS('PAYG INDICATIVE OPTIONS'!$X$4:$X$9,'Loan Repayment Input Sheet'!B96)&gt;0,0,"")</f>
        <v/>
      </c>
      <c r="F96" s="44">
        <f t="shared" si="7"/>
        <v>0</v>
      </c>
      <c r="G96" s="29">
        <f t="shared" si="8"/>
        <v>0</v>
      </c>
      <c r="H96" s="29">
        <f t="shared" si="9"/>
        <v>0</v>
      </c>
      <c r="I96" s="29">
        <f t="shared" si="10"/>
        <v>0</v>
      </c>
      <c r="J96" s="29">
        <f t="shared" si="11"/>
        <v>0</v>
      </c>
      <c r="K96" s="41"/>
      <c r="L96" s="41"/>
      <c r="M96" s="41"/>
      <c r="N96" s="41"/>
      <c r="Q96" s="14"/>
    </row>
    <row r="97" spans="1:17" x14ac:dyDescent="0.2">
      <c r="A97" s="1" t="str">
        <f>IF($A$18=1,"",IF($A$18=3,20))</f>
        <v/>
      </c>
      <c r="B97" s="1">
        <v>77</v>
      </c>
      <c r="C97" s="13">
        <f t="shared" si="6"/>
        <v>46812</v>
      </c>
      <c r="D97" s="46" t="str">
        <f>IF(COUNTIFS('PAYG INDICATIVE OPTIONS'!$U$4:$X$9,'Loan Repayment Input Sheet'!B97)&gt;0,0,"")</f>
        <v/>
      </c>
      <c r="E97" s="27" t="str">
        <f>IF(COUNTIFS('PAYG INDICATIVE OPTIONS'!$X$4:$X$9,'Loan Repayment Input Sheet'!B97)&gt;0,0,"")</f>
        <v/>
      </c>
      <c r="F97" s="44">
        <f t="shared" si="7"/>
        <v>0</v>
      </c>
      <c r="G97" s="29">
        <f t="shared" si="8"/>
        <v>0</v>
      </c>
      <c r="H97" s="29">
        <f t="shared" si="9"/>
        <v>0</v>
      </c>
      <c r="I97" s="29">
        <f t="shared" si="10"/>
        <v>0</v>
      </c>
      <c r="J97" s="29">
        <f t="shared" si="11"/>
        <v>0</v>
      </c>
      <c r="K97" s="41"/>
      <c r="L97" s="41"/>
      <c r="M97" s="41"/>
      <c r="N97" s="41"/>
      <c r="Q97" s="14"/>
    </row>
    <row r="98" spans="1:17" x14ac:dyDescent="0.2">
      <c r="B98" s="1">
        <v>78</v>
      </c>
      <c r="C98" s="13">
        <f t="shared" si="6"/>
        <v>46843</v>
      </c>
      <c r="D98" s="46" t="str">
        <f>IF(COUNTIFS('PAYG INDICATIVE OPTIONS'!$U$4:$X$9,'Loan Repayment Input Sheet'!B98)&gt;0,0,"")</f>
        <v/>
      </c>
      <c r="E98" s="27" t="str">
        <f>IF(COUNTIFS('PAYG INDICATIVE OPTIONS'!$X$4:$X$9,'Loan Repayment Input Sheet'!B98)&gt;0,0,"")</f>
        <v/>
      </c>
      <c r="F98" s="44">
        <f t="shared" si="7"/>
        <v>0</v>
      </c>
      <c r="G98" s="29">
        <f t="shared" si="8"/>
        <v>0</v>
      </c>
      <c r="H98" s="29">
        <f t="shared" si="9"/>
        <v>0</v>
      </c>
      <c r="I98" s="29">
        <f t="shared" si="10"/>
        <v>0</v>
      </c>
      <c r="J98" s="29">
        <f t="shared" si="11"/>
        <v>0</v>
      </c>
      <c r="K98" s="41"/>
      <c r="L98" s="41"/>
      <c r="M98" s="41"/>
      <c r="N98" s="41"/>
      <c r="Q98" s="14"/>
    </row>
    <row r="99" spans="1:17" x14ac:dyDescent="0.2">
      <c r="B99" s="1">
        <v>79</v>
      </c>
      <c r="C99" s="13">
        <f t="shared" si="6"/>
        <v>46873</v>
      </c>
      <c r="D99" s="46" t="str">
        <f>IF(COUNTIFS('PAYG INDICATIVE OPTIONS'!$U$4:$X$9,'Loan Repayment Input Sheet'!B99)&gt;0,0,"")</f>
        <v/>
      </c>
      <c r="E99" s="27" t="str">
        <f>IF(COUNTIFS('PAYG INDICATIVE OPTIONS'!$X$4:$X$9,'Loan Repayment Input Sheet'!B99)&gt;0,0,"")</f>
        <v/>
      </c>
      <c r="F99" s="44">
        <f t="shared" si="7"/>
        <v>0</v>
      </c>
      <c r="G99" s="29">
        <f t="shared" si="8"/>
        <v>0</v>
      </c>
      <c r="H99" s="29">
        <f t="shared" si="9"/>
        <v>0</v>
      </c>
      <c r="I99" s="29">
        <f t="shared" si="10"/>
        <v>0</v>
      </c>
      <c r="J99" s="29">
        <f t="shared" si="11"/>
        <v>0</v>
      </c>
      <c r="K99" s="41"/>
      <c r="L99" s="41"/>
      <c r="M99" s="41"/>
      <c r="N99" s="41"/>
      <c r="Q99" s="14"/>
    </row>
    <row r="100" spans="1:17" x14ac:dyDescent="0.2">
      <c r="B100" s="1">
        <v>80</v>
      </c>
      <c r="C100" s="13">
        <f t="shared" si="6"/>
        <v>46904</v>
      </c>
      <c r="D100" s="46" t="str">
        <f>IF(COUNTIFS('PAYG INDICATIVE OPTIONS'!$U$4:$X$9,'Loan Repayment Input Sheet'!B100)&gt;0,0,"")</f>
        <v/>
      </c>
      <c r="E100" s="27" t="str">
        <f>IF(COUNTIFS('PAYG INDICATIVE OPTIONS'!$X$4:$X$9,'Loan Repayment Input Sheet'!B100)&gt;0,0,"")</f>
        <v/>
      </c>
      <c r="F100" s="44">
        <f t="shared" si="7"/>
        <v>0</v>
      </c>
      <c r="G100" s="29">
        <f t="shared" si="8"/>
        <v>0</v>
      </c>
      <c r="H100" s="29">
        <f t="shared" si="9"/>
        <v>0</v>
      </c>
      <c r="I100" s="29">
        <f t="shared" si="10"/>
        <v>0</v>
      </c>
      <c r="J100" s="29">
        <f t="shared" si="11"/>
        <v>0</v>
      </c>
      <c r="K100" s="41"/>
      <c r="L100" s="41"/>
      <c r="M100" s="41"/>
      <c r="N100" s="41"/>
      <c r="Q100" s="14"/>
    </row>
    <row r="101" spans="1:17" x14ac:dyDescent="0.2">
      <c r="A101" s="1" t="str">
        <f>IF($A$18=1,"",IF($A$18=3,21))</f>
        <v/>
      </c>
      <c r="B101" s="1">
        <v>81</v>
      </c>
      <c r="C101" s="13">
        <f t="shared" si="6"/>
        <v>46934</v>
      </c>
      <c r="D101" s="46" t="str">
        <f>IF(COUNTIFS('PAYG INDICATIVE OPTIONS'!$U$4:$X$9,'Loan Repayment Input Sheet'!B101)&gt;0,0,"")</f>
        <v/>
      </c>
      <c r="E101" s="27" t="str">
        <f>IF(COUNTIFS('PAYG INDICATIVE OPTIONS'!$X$4:$X$9,'Loan Repayment Input Sheet'!B101)&gt;0,0,"")</f>
        <v/>
      </c>
      <c r="F101" s="44">
        <f t="shared" si="7"/>
        <v>0</v>
      </c>
      <c r="G101" s="29">
        <f t="shared" si="8"/>
        <v>0</v>
      </c>
      <c r="H101" s="29">
        <f t="shared" si="9"/>
        <v>0</v>
      </c>
      <c r="I101" s="29">
        <f t="shared" si="10"/>
        <v>0</v>
      </c>
      <c r="J101" s="29">
        <f t="shared" si="11"/>
        <v>0</v>
      </c>
      <c r="K101" s="41"/>
      <c r="L101" s="41"/>
      <c r="M101" s="41"/>
      <c r="N101" s="41"/>
      <c r="Q101" s="14"/>
    </row>
    <row r="102" spans="1:17" x14ac:dyDescent="0.2">
      <c r="B102" s="1">
        <v>82</v>
      </c>
      <c r="C102" s="13">
        <f t="shared" si="6"/>
        <v>46965</v>
      </c>
      <c r="D102" s="46" t="str">
        <f>IF(COUNTIFS('PAYG INDICATIVE OPTIONS'!$U$4:$X$9,'Loan Repayment Input Sheet'!B102)&gt;0,0,"")</f>
        <v/>
      </c>
      <c r="E102" s="27" t="str">
        <f>IF(COUNTIFS('PAYG INDICATIVE OPTIONS'!$X$4:$X$9,'Loan Repayment Input Sheet'!B102)&gt;0,0,"")</f>
        <v/>
      </c>
      <c r="F102" s="44">
        <f t="shared" si="7"/>
        <v>0</v>
      </c>
      <c r="G102" s="29">
        <f t="shared" si="8"/>
        <v>0</v>
      </c>
      <c r="H102" s="29">
        <f t="shared" si="9"/>
        <v>0</v>
      </c>
      <c r="I102" s="29">
        <f t="shared" si="10"/>
        <v>0</v>
      </c>
      <c r="J102" s="29">
        <f t="shared" si="11"/>
        <v>0</v>
      </c>
      <c r="K102" s="41"/>
      <c r="L102" s="41"/>
      <c r="M102" s="41"/>
      <c r="N102" s="41"/>
      <c r="Q102" s="14"/>
    </row>
    <row r="103" spans="1:17" x14ac:dyDescent="0.2">
      <c r="B103" s="1">
        <v>83</v>
      </c>
      <c r="C103" s="13">
        <f t="shared" si="6"/>
        <v>46996</v>
      </c>
      <c r="D103" s="46" t="str">
        <f>IF(COUNTIFS('PAYG INDICATIVE OPTIONS'!$U$4:$X$9,'Loan Repayment Input Sheet'!B103)&gt;0,0,"")</f>
        <v/>
      </c>
      <c r="E103" s="27" t="str">
        <f>IF(COUNTIFS('PAYG INDICATIVE OPTIONS'!$X$4:$X$9,'Loan Repayment Input Sheet'!B103)&gt;0,0,"")</f>
        <v/>
      </c>
      <c r="F103" s="44">
        <f t="shared" si="7"/>
        <v>0</v>
      </c>
      <c r="G103" s="29">
        <f t="shared" si="8"/>
        <v>0</v>
      </c>
      <c r="H103" s="29">
        <f t="shared" si="9"/>
        <v>0</v>
      </c>
      <c r="I103" s="29">
        <f t="shared" si="10"/>
        <v>0</v>
      </c>
      <c r="J103" s="29">
        <f t="shared" si="11"/>
        <v>0</v>
      </c>
      <c r="K103" s="41"/>
      <c r="L103" s="41"/>
      <c r="M103" s="41"/>
      <c r="N103" s="41"/>
      <c r="Q103" s="14"/>
    </row>
    <row r="104" spans="1:17" x14ac:dyDescent="0.2">
      <c r="B104" s="1">
        <v>84</v>
      </c>
      <c r="C104" s="13">
        <f t="shared" si="6"/>
        <v>47026</v>
      </c>
      <c r="D104" s="46" t="str">
        <f>IF(COUNTIFS('PAYG INDICATIVE OPTIONS'!$U$4:$X$9,'Loan Repayment Input Sheet'!B104)&gt;0,0,"")</f>
        <v/>
      </c>
      <c r="E104" s="27" t="str">
        <f>IF(COUNTIFS('PAYG INDICATIVE OPTIONS'!$X$4:$X$9,'Loan Repayment Input Sheet'!B104)&gt;0,0,"")</f>
        <v/>
      </c>
      <c r="F104" s="44">
        <f t="shared" si="7"/>
        <v>0</v>
      </c>
      <c r="G104" s="29">
        <f t="shared" si="8"/>
        <v>0</v>
      </c>
      <c r="H104" s="29">
        <f t="shared" si="9"/>
        <v>0</v>
      </c>
      <c r="I104" s="29">
        <f t="shared" si="10"/>
        <v>0</v>
      </c>
      <c r="J104" s="29">
        <f t="shared" si="11"/>
        <v>0</v>
      </c>
      <c r="K104" s="41"/>
      <c r="L104" s="41"/>
      <c r="M104" s="41"/>
      <c r="N104" s="41"/>
      <c r="Q104" s="14"/>
    </row>
    <row r="105" spans="1:17" x14ac:dyDescent="0.2">
      <c r="A105" s="1">
        <f>IF($A$18=1,8,IF($A$18=3,22))</f>
        <v>8</v>
      </c>
      <c r="B105" s="1">
        <v>85</v>
      </c>
      <c r="C105" s="13">
        <f t="shared" si="6"/>
        <v>47057</v>
      </c>
      <c r="D105" s="46" t="str">
        <f>IF(COUNTIFS('PAYG INDICATIVE OPTIONS'!$U$4:$X$9,'Loan Repayment Input Sheet'!B105)&gt;0,0,"")</f>
        <v/>
      </c>
      <c r="E105" s="27" t="str">
        <f>IF(COUNTIFS('PAYG INDICATIVE OPTIONS'!$X$4:$X$9,'Loan Repayment Input Sheet'!B105)&gt;0,0,"")</f>
        <v/>
      </c>
      <c r="F105" s="44">
        <f t="shared" si="7"/>
        <v>0</v>
      </c>
      <c r="G105" s="29">
        <f t="shared" si="8"/>
        <v>0</v>
      </c>
      <c r="H105" s="29">
        <f t="shared" si="9"/>
        <v>0</v>
      </c>
      <c r="I105" s="29">
        <f t="shared" si="10"/>
        <v>0</v>
      </c>
      <c r="J105" s="29">
        <f t="shared" si="11"/>
        <v>0</v>
      </c>
      <c r="K105" s="41"/>
      <c r="L105" s="41"/>
      <c r="M105" s="41"/>
      <c r="N105" s="41"/>
      <c r="Q105" s="14"/>
    </row>
    <row r="106" spans="1:17" x14ac:dyDescent="0.2">
      <c r="B106" s="1">
        <v>86</v>
      </c>
      <c r="C106" s="13">
        <f t="shared" si="6"/>
        <v>47087</v>
      </c>
      <c r="D106" s="46" t="str">
        <f>IF(COUNTIFS('PAYG INDICATIVE OPTIONS'!$U$4:$X$9,'Loan Repayment Input Sheet'!B106)&gt;0,0,"")</f>
        <v/>
      </c>
      <c r="E106" s="27" t="str">
        <f>IF(COUNTIFS('PAYG INDICATIVE OPTIONS'!$X$4:$X$9,'Loan Repayment Input Sheet'!B106)&gt;0,0,"")</f>
        <v/>
      </c>
      <c r="F106" s="44">
        <f t="shared" si="7"/>
        <v>0</v>
      </c>
      <c r="G106" s="29">
        <f t="shared" si="8"/>
        <v>0</v>
      </c>
      <c r="H106" s="29">
        <f t="shared" si="9"/>
        <v>0</v>
      </c>
      <c r="I106" s="29">
        <f t="shared" si="10"/>
        <v>0</v>
      </c>
      <c r="J106" s="29">
        <f t="shared" si="11"/>
        <v>0</v>
      </c>
      <c r="K106" s="41"/>
      <c r="L106" s="41"/>
      <c r="M106" s="41"/>
      <c r="N106" s="41"/>
      <c r="Q106" s="14"/>
    </row>
    <row r="107" spans="1:17" x14ac:dyDescent="0.2">
      <c r="B107" s="1">
        <v>87</v>
      </c>
      <c r="C107" s="13">
        <f t="shared" si="6"/>
        <v>47118</v>
      </c>
      <c r="D107" s="46" t="str">
        <f>IF(COUNTIFS('PAYG INDICATIVE OPTIONS'!$U$4:$X$9,'Loan Repayment Input Sheet'!B107)&gt;0,0,"")</f>
        <v/>
      </c>
      <c r="E107" s="27" t="str">
        <f>IF(COUNTIFS('PAYG INDICATIVE OPTIONS'!$X$4:$X$9,'Loan Repayment Input Sheet'!B107)&gt;0,0,"")</f>
        <v/>
      </c>
      <c r="F107" s="44">
        <f t="shared" si="7"/>
        <v>0</v>
      </c>
      <c r="G107" s="29">
        <f t="shared" si="8"/>
        <v>0</v>
      </c>
      <c r="H107" s="29">
        <f t="shared" si="9"/>
        <v>0</v>
      </c>
      <c r="I107" s="29">
        <f t="shared" si="10"/>
        <v>0</v>
      </c>
      <c r="J107" s="29">
        <f t="shared" si="11"/>
        <v>0</v>
      </c>
      <c r="K107" s="41"/>
      <c r="L107" s="41"/>
      <c r="M107" s="41"/>
      <c r="N107" s="41"/>
      <c r="Q107" s="14"/>
    </row>
    <row r="108" spans="1:17" x14ac:dyDescent="0.2">
      <c r="B108" s="1">
        <v>88</v>
      </c>
      <c r="C108" s="13">
        <f t="shared" si="6"/>
        <v>47149</v>
      </c>
      <c r="D108" s="46" t="str">
        <f>IF(COUNTIFS('PAYG INDICATIVE OPTIONS'!$U$4:$X$9,'Loan Repayment Input Sheet'!B108)&gt;0,0,"")</f>
        <v/>
      </c>
      <c r="E108" s="27" t="str">
        <f>IF(COUNTIFS('PAYG INDICATIVE OPTIONS'!$X$4:$X$9,'Loan Repayment Input Sheet'!B108)&gt;0,0,"")</f>
        <v/>
      </c>
      <c r="F108" s="44">
        <f t="shared" si="7"/>
        <v>0</v>
      </c>
      <c r="G108" s="29">
        <f t="shared" si="8"/>
        <v>0</v>
      </c>
      <c r="H108" s="29">
        <f t="shared" si="9"/>
        <v>0</v>
      </c>
      <c r="I108" s="29">
        <f t="shared" si="10"/>
        <v>0</v>
      </c>
      <c r="J108" s="29">
        <f t="shared" si="11"/>
        <v>0</v>
      </c>
      <c r="K108" s="41"/>
      <c r="L108" s="41"/>
      <c r="M108" s="41"/>
      <c r="N108" s="41"/>
      <c r="Q108" s="14"/>
    </row>
    <row r="109" spans="1:17" x14ac:dyDescent="0.2">
      <c r="A109" s="1" t="str">
        <f>IF($A$18=1,"",IF($A$18=3,23))</f>
        <v/>
      </c>
      <c r="B109" s="1">
        <v>89</v>
      </c>
      <c r="C109" s="13">
        <f t="shared" si="6"/>
        <v>47177</v>
      </c>
      <c r="D109" s="46" t="str">
        <f>IF(COUNTIFS('PAYG INDICATIVE OPTIONS'!$U$4:$X$9,'Loan Repayment Input Sheet'!B109)&gt;0,0,"")</f>
        <v/>
      </c>
      <c r="E109" s="27" t="str">
        <f>IF(COUNTIFS('PAYG INDICATIVE OPTIONS'!$X$4:$X$9,'Loan Repayment Input Sheet'!B109)&gt;0,0,"")</f>
        <v/>
      </c>
      <c r="F109" s="44">
        <f t="shared" si="7"/>
        <v>0</v>
      </c>
      <c r="G109" s="29">
        <f t="shared" si="8"/>
        <v>0</v>
      </c>
      <c r="H109" s="29">
        <f t="shared" si="9"/>
        <v>0</v>
      </c>
      <c r="I109" s="29">
        <f t="shared" si="10"/>
        <v>0</v>
      </c>
      <c r="J109" s="29">
        <f t="shared" si="11"/>
        <v>0</v>
      </c>
      <c r="K109" s="41"/>
      <c r="L109" s="41"/>
      <c r="M109" s="41"/>
      <c r="N109" s="41"/>
      <c r="Q109" s="14"/>
    </row>
    <row r="110" spans="1:17" x14ac:dyDescent="0.2">
      <c r="B110" s="1">
        <v>90</v>
      </c>
      <c r="C110" s="13">
        <f t="shared" si="6"/>
        <v>47208</v>
      </c>
      <c r="D110" s="46" t="str">
        <f>IF(COUNTIFS('PAYG INDICATIVE OPTIONS'!$U$4:$X$9,'Loan Repayment Input Sheet'!B110)&gt;0,0,"")</f>
        <v/>
      </c>
      <c r="E110" s="27" t="str">
        <f>IF(COUNTIFS('PAYG INDICATIVE OPTIONS'!$X$4:$X$9,'Loan Repayment Input Sheet'!B110)&gt;0,0,"")</f>
        <v/>
      </c>
      <c r="F110" s="44">
        <f t="shared" si="7"/>
        <v>0</v>
      </c>
      <c r="G110" s="29">
        <f t="shared" si="8"/>
        <v>0</v>
      </c>
      <c r="H110" s="29">
        <f t="shared" si="9"/>
        <v>0</v>
      </c>
      <c r="I110" s="29">
        <f t="shared" si="10"/>
        <v>0</v>
      </c>
      <c r="J110" s="29">
        <f t="shared" si="11"/>
        <v>0</v>
      </c>
      <c r="K110" s="41"/>
      <c r="L110" s="41"/>
      <c r="M110" s="41"/>
      <c r="N110" s="41"/>
      <c r="Q110" s="14"/>
    </row>
    <row r="111" spans="1:17" x14ac:dyDescent="0.2">
      <c r="B111" s="1">
        <v>91</v>
      </c>
      <c r="C111" s="13">
        <f t="shared" si="6"/>
        <v>47238</v>
      </c>
      <c r="D111" s="46" t="str">
        <f>IF(COUNTIFS('PAYG INDICATIVE OPTIONS'!$U$4:$X$9,'Loan Repayment Input Sheet'!B111)&gt;0,0,"")</f>
        <v/>
      </c>
      <c r="E111" s="27" t="str">
        <f>IF(COUNTIFS('PAYG INDICATIVE OPTIONS'!$X$4:$X$9,'Loan Repayment Input Sheet'!B111)&gt;0,0,"")</f>
        <v/>
      </c>
      <c r="F111" s="44">
        <f t="shared" si="7"/>
        <v>0</v>
      </c>
      <c r="G111" s="29">
        <f t="shared" si="8"/>
        <v>0</v>
      </c>
      <c r="H111" s="29">
        <f t="shared" si="9"/>
        <v>0</v>
      </c>
      <c r="I111" s="29">
        <f t="shared" si="10"/>
        <v>0</v>
      </c>
      <c r="J111" s="29">
        <f t="shared" si="11"/>
        <v>0</v>
      </c>
      <c r="K111" s="41"/>
      <c r="L111" s="41"/>
      <c r="M111" s="41"/>
      <c r="N111" s="41"/>
      <c r="Q111" s="14"/>
    </row>
    <row r="112" spans="1:17" x14ac:dyDescent="0.2">
      <c r="B112" s="1">
        <v>92</v>
      </c>
      <c r="C112" s="13">
        <f t="shared" si="6"/>
        <v>47269</v>
      </c>
      <c r="D112" s="46" t="str">
        <f>IF(COUNTIFS('PAYG INDICATIVE OPTIONS'!$U$4:$X$9,'Loan Repayment Input Sheet'!B112)&gt;0,0,"")</f>
        <v/>
      </c>
      <c r="E112" s="27" t="str">
        <f>IF(COUNTIFS('PAYG INDICATIVE OPTIONS'!$X$4:$X$9,'Loan Repayment Input Sheet'!B112)&gt;0,0,"")</f>
        <v/>
      </c>
      <c r="F112" s="44">
        <f t="shared" si="7"/>
        <v>0</v>
      </c>
      <c r="G112" s="29">
        <f t="shared" si="8"/>
        <v>0</v>
      </c>
      <c r="H112" s="29">
        <f t="shared" si="9"/>
        <v>0</v>
      </c>
      <c r="I112" s="29">
        <f t="shared" si="10"/>
        <v>0</v>
      </c>
      <c r="J112" s="29">
        <f t="shared" si="11"/>
        <v>0</v>
      </c>
      <c r="K112" s="41"/>
      <c r="L112" s="41"/>
      <c r="M112" s="41"/>
      <c r="N112" s="41"/>
      <c r="Q112" s="14"/>
    </row>
    <row r="113" spans="1:17" x14ac:dyDescent="0.2">
      <c r="A113" s="1" t="str">
        <f>IF($A$18=1,"",IF($A$18=3,24))</f>
        <v/>
      </c>
      <c r="B113" s="1">
        <v>93</v>
      </c>
      <c r="C113" s="13">
        <f t="shared" si="6"/>
        <v>47299</v>
      </c>
      <c r="D113" s="46" t="str">
        <f>IF(COUNTIFS('PAYG INDICATIVE OPTIONS'!$U$4:$X$9,'Loan Repayment Input Sheet'!B113)&gt;0,0,"")</f>
        <v/>
      </c>
      <c r="E113" s="27" t="str">
        <f>IF(COUNTIFS('PAYG INDICATIVE OPTIONS'!$X$4:$X$9,'Loan Repayment Input Sheet'!B113)&gt;0,0,"")</f>
        <v/>
      </c>
      <c r="F113" s="44">
        <f t="shared" si="7"/>
        <v>0</v>
      </c>
      <c r="G113" s="29">
        <f t="shared" si="8"/>
        <v>0</v>
      </c>
      <c r="H113" s="29">
        <f t="shared" si="9"/>
        <v>0</v>
      </c>
      <c r="I113" s="29">
        <f t="shared" si="10"/>
        <v>0</v>
      </c>
      <c r="J113" s="29">
        <f t="shared" si="11"/>
        <v>0</v>
      </c>
      <c r="K113" s="41"/>
      <c r="L113" s="41"/>
      <c r="M113" s="41"/>
      <c r="N113" s="41"/>
      <c r="Q113" s="14"/>
    </row>
    <row r="114" spans="1:17" x14ac:dyDescent="0.2">
      <c r="B114" s="1">
        <v>94</v>
      </c>
      <c r="C114" s="13">
        <f t="shared" si="6"/>
        <v>47330</v>
      </c>
      <c r="D114" s="46" t="str">
        <f>IF(COUNTIFS('PAYG INDICATIVE OPTIONS'!$U$4:$X$9,'Loan Repayment Input Sheet'!B114)&gt;0,0,"")</f>
        <v/>
      </c>
      <c r="E114" s="27" t="str">
        <f>IF(COUNTIFS('PAYG INDICATIVE OPTIONS'!$X$4:$X$9,'Loan Repayment Input Sheet'!B114)&gt;0,0,"")</f>
        <v/>
      </c>
      <c r="F114" s="44">
        <f t="shared" si="7"/>
        <v>0</v>
      </c>
      <c r="G114" s="29">
        <f t="shared" si="8"/>
        <v>0</v>
      </c>
      <c r="H114" s="29">
        <f t="shared" si="9"/>
        <v>0</v>
      </c>
      <c r="I114" s="29">
        <f t="shared" si="10"/>
        <v>0</v>
      </c>
      <c r="J114" s="29">
        <f t="shared" si="11"/>
        <v>0</v>
      </c>
      <c r="K114" s="41"/>
      <c r="L114" s="41"/>
      <c r="M114" s="41"/>
      <c r="N114" s="41"/>
      <c r="Q114" s="14"/>
    </row>
    <row r="115" spans="1:17" x14ac:dyDescent="0.2">
      <c r="B115" s="1">
        <v>95</v>
      </c>
      <c r="C115" s="13">
        <f t="shared" si="6"/>
        <v>47361</v>
      </c>
      <c r="D115" s="46" t="str">
        <f>IF(COUNTIFS('PAYG INDICATIVE OPTIONS'!$U$4:$X$9,'Loan Repayment Input Sheet'!B115)&gt;0,0,"")</f>
        <v/>
      </c>
      <c r="E115" s="27" t="str">
        <f>IF(COUNTIFS('PAYG INDICATIVE OPTIONS'!$X$4:$X$9,'Loan Repayment Input Sheet'!B115)&gt;0,0,"")</f>
        <v/>
      </c>
      <c r="F115" s="44">
        <f t="shared" si="7"/>
        <v>0</v>
      </c>
      <c r="G115" s="29">
        <f t="shared" si="8"/>
        <v>0</v>
      </c>
      <c r="H115" s="29">
        <f t="shared" si="9"/>
        <v>0</v>
      </c>
      <c r="I115" s="29">
        <f t="shared" si="10"/>
        <v>0</v>
      </c>
      <c r="J115" s="29">
        <f t="shared" si="11"/>
        <v>0</v>
      </c>
      <c r="K115" s="41"/>
      <c r="L115" s="41"/>
      <c r="M115" s="41"/>
      <c r="N115" s="41"/>
      <c r="Q115" s="14"/>
    </row>
    <row r="116" spans="1:17" x14ac:dyDescent="0.2">
      <c r="B116" s="1">
        <v>96</v>
      </c>
      <c r="C116" s="13">
        <f t="shared" si="6"/>
        <v>47391</v>
      </c>
      <c r="D116" s="46" t="str">
        <f>IF(COUNTIFS('PAYG INDICATIVE OPTIONS'!$U$4:$X$9,'Loan Repayment Input Sheet'!B116)&gt;0,0,"")</f>
        <v/>
      </c>
      <c r="E116" s="27" t="str">
        <f>IF(COUNTIFS('PAYG INDICATIVE OPTIONS'!$X$4:$X$9,'Loan Repayment Input Sheet'!B116)&gt;0,0,"")</f>
        <v/>
      </c>
      <c r="F116" s="44">
        <f t="shared" si="7"/>
        <v>0</v>
      </c>
      <c r="G116" s="29">
        <f t="shared" si="8"/>
        <v>0</v>
      </c>
      <c r="H116" s="29">
        <f t="shared" si="9"/>
        <v>0</v>
      </c>
      <c r="I116" s="29">
        <f t="shared" si="10"/>
        <v>0</v>
      </c>
      <c r="J116" s="29">
        <f t="shared" si="11"/>
        <v>0</v>
      </c>
      <c r="K116" s="41"/>
      <c r="L116" s="41"/>
      <c r="M116" s="41"/>
      <c r="N116" s="41"/>
      <c r="Q116" s="14"/>
    </row>
    <row r="117" spans="1:17" x14ac:dyDescent="0.2">
      <c r="A117" s="1">
        <f>IF($A$18=1,9,IF($A$18=3,25))</f>
        <v>9</v>
      </c>
      <c r="B117" s="1">
        <v>97</v>
      </c>
      <c r="C117" s="13">
        <f t="shared" si="6"/>
        <v>47422</v>
      </c>
      <c r="D117" s="46" t="str">
        <f>IF(COUNTIFS('PAYG INDICATIVE OPTIONS'!$U$4:$X$9,'Loan Repayment Input Sheet'!B117)&gt;0,0,"")</f>
        <v/>
      </c>
      <c r="E117" s="27" t="str">
        <f>IF(COUNTIFS('PAYG INDICATIVE OPTIONS'!$X$4:$X$9,'Loan Repayment Input Sheet'!B117)&gt;0,0,"")</f>
        <v/>
      </c>
      <c r="F117" s="44">
        <f t="shared" si="7"/>
        <v>0</v>
      </c>
      <c r="G117" s="29">
        <f t="shared" si="8"/>
        <v>0</v>
      </c>
      <c r="H117" s="29">
        <f t="shared" si="9"/>
        <v>0</v>
      </c>
      <c r="I117" s="29">
        <f t="shared" si="10"/>
        <v>0</v>
      </c>
      <c r="J117" s="29">
        <f t="shared" si="11"/>
        <v>0</v>
      </c>
      <c r="K117" s="41"/>
      <c r="L117" s="41"/>
      <c r="M117" s="41"/>
      <c r="N117" s="41"/>
      <c r="Q117" s="14"/>
    </row>
    <row r="118" spans="1:17" x14ac:dyDescent="0.2">
      <c r="B118" s="1">
        <v>98</v>
      </c>
      <c r="C118" s="13">
        <f t="shared" si="6"/>
        <v>47452</v>
      </c>
      <c r="D118" s="46" t="str">
        <f>IF(COUNTIFS('PAYG INDICATIVE OPTIONS'!$U$4:$X$9,'Loan Repayment Input Sheet'!B118)&gt;0,0,"")</f>
        <v/>
      </c>
      <c r="E118" s="27" t="str">
        <f>IF(COUNTIFS('PAYG INDICATIVE OPTIONS'!$X$4:$X$9,'Loan Repayment Input Sheet'!B118)&gt;0,0,"")</f>
        <v/>
      </c>
      <c r="F118" s="44">
        <f t="shared" si="7"/>
        <v>0</v>
      </c>
      <c r="G118" s="29">
        <f t="shared" si="8"/>
        <v>0</v>
      </c>
      <c r="H118" s="29">
        <f t="shared" si="9"/>
        <v>0</v>
      </c>
      <c r="I118" s="29">
        <f t="shared" si="10"/>
        <v>0</v>
      </c>
      <c r="J118" s="29">
        <f t="shared" si="11"/>
        <v>0</v>
      </c>
      <c r="K118" s="41"/>
      <c r="L118" s="41"/>
      <c r="M118" s="41"/>
      <c r="N118" s="41"/>
      <c r="Q118" s="14"/>
    </row>
    <row r="119" spans="1:17" x14ac:dyDescent="0.2">
      <c r="B119" s="1">
        <v>99</v>
      </c>
      <c r="C119" s="13">
        <f t="shared" si="6"/>
        <v>47483</v>
      </c>
      <c r="D119" s="46" t="str">
        <f>IF(COUNTIFS('PAYG INDICATIVE OPTIONS'!$U$4:$X$9,'Loan Repayment Input Sheet'!B119)&gt;0,0,"")</f>
        <v/>
      </c>
      <c r="E119" s="27" t="str">
        <f>IF(COUNTIFS('PAYG INDICATIVE OPTIONS'!$X$4:$X$9,'Loan Repayment Input Sheet'!B119)&gt;0,0,"")</f>
        <v/>
      </c>
      <c r="F119" s="44">
        <f t="shared" si="7"/>
        <v>0</v>
      </c>
      <c r="G119" s="29">
        <f t="shared" si="8"/>
        <v>0</v>
      </c>
      <c r="H119" s="29">
        <f t="shared" si="9"/>
        <v>0</v>
      </c>
      <c r="I119" s="29">
        <f t="shared" si="10"/>
        <v>0</v>
      </c>
      <c r="J119" s="29">
        <f t="shared" si="11"/>
        <v>0</v>
      </c>
      <c r="K119" s="41"/>
      <c r="L119" s="41"/>
      <c r="M119" s="41"/>
      <c r="N119" s="41"/>
      <c r="Q119" s="14"/>
    </row>
    <row r="120" spans="1:17" x14ac:dyDescent="0.2">
      <c r="B120" s="1">
        <v>100</v>
      </c>
      <c r="C120" s="13">
        <f t="shared" si="6"/>
        <v>47514</v>
      </c>
      <c r="D120" s="46" t="str">
        <f>IF(COUNTIFS('PAYG INDICATIVE OPTIONS'!$U$4:$X$9,'Loan Repayment Input Sheet'!B120)&gt;0,0,"")</f>
        <v/>
      </c>
      <c r="E120" s="27" t="str">
        <f>IF(COUNTIFS('PAYG INDICATIVE OPTIONS'!$X$4:$X$9,'Loan Repayment Input Sheet'!B120)&gt;0,0,"")</f>
        <v/>
      </c>
      <c r="F120" s="44">
        <f t="shared" si="7"/>
        <v>0</v>
      </c>
      <c r="G120" s="29">
        <f t="shared" si="8"/>
        <v>0</v>
      </c>
      <c r="H120" s="29">
        <f t="shared" si="9"/>
        <v>0</v>
      </c>
      <c r="I120" s="29">
        <f t="shared" si="10"/>
        <v>0</v>
      </c>
      <c r="J120" s="29">
        <f t="shared" si="11"/>
        <v>0</v>
      </c>
      <c r="K120" s="41"/>
      <c r="L120" s="41"/>
      <c r="M120" s="41"/>
      <c r="N120" s="41"/>
      <c r="Q120" s="14"/>
    </row>
    <row r="121" spans="1:17" x14ac:dyDescent="0.2">
      <c r="A121" s="1" t="str">
        <f>IF($A$18=1,"",IF($A$18=3,26))</f>
        <v/>
      </c>
      <c r="B121" s="1">
        <v>101</v>
      </c>
      <c r="C121" s="13">
        <f t="shared" si="6"/>
        <v>47542</v>
      </c>
      <c r="D121" s="46" t="str">
        <f>IF(COUNTIFS('PAYG INDICATIVE OPTIONS'!$U$4:$X$9,'Loan Repayment Input Sheet'!B121)&gt;0,0,"")</f>
        <v/>
      </c>
      <c r="E121" s="27" t="str">
        <f>IF(COUNTIFS('PAYG INDICATIVE OPTIONS'!$X$4:$X$9,'Loan Repayment Input Sheet'!B121)&gt;0,0,"")</f>
        <v/>
      </c>
      <c r="F121" s="44">
        <f t="shared" si="7"/>
        <v>0</v>
      </c>
      <c r="G121" s="29">
        <f t="shared" si="8"/>
        <v>0</v>
      </c>
      <c r="H121" s="29">
        <f t="shared" si="9"/>
        <v>0</v>
      </c>
      <c r="I121" s="29">
        <f t="shared" si="10"/>
        <v>0</v>
      </c>
      <c r="J121" s="29">
        <f t="shared" si="11"/>
        <v>0</v>
      </c>
      <c r="K121" s="41"/>
      <c r="L121" s="41"/>
      <c r="M121" s="41"/>
      <c r="N121" s="41"/>
      <c r="Q121" s="14"/>
    </row>
    <row r="122" spans="1:17" x14ac:dyDescent="0.2">
      <c r="B122" s="1">
        <v>102</v>
      </c>
      <c r="C122" s="13">
        <f t="shared" si="6"/>
        <v>47573</v>
      </c>
      <c r="D122" s="46" t="str">
        <f>IF(COUNTIFS('PAYG INDICATIVE OPTIONS'!$U$4:$X$9,'Loan Repayment Input Sheet'!B122)&gt;0,0,"")</f>
        <v/>
      </c>
      <c r="E122" s="27" t="str">
        <f>IF(COUNTIFS('PAYG INDICATIVE OPTIONS'!$X$4:$X$9,'Loan Repayment Input Sheet'!B122)&gt;0,0,"")</f>
        <v/>
      </c>
      <c r="F122" s="44">
        <f t="shared" si="7"/>
        <v>0</v>
      </c>
      <c r="G122" s="29">
        <f t="shared" si="8"/>
        <v>0</v>
      </c>
      <c r="H122" s="29">
        <f t="shared" si="9"/>
        <v>0</v>
      </c>
      <c r="I122" s="29">
        <f t="shared" si="10"/>
        <v>0</v>
      </c>
      <c r="J122" s="29">
        <f t="shared" si="11"/>
        <v>0</v>
      </c>
      <c r="K122" s="41"/>
      <c r="L122" s="41"/>
      <c r="M122" s="41"/>
      <c r="N122" s="41"/>
      <c r="Q122" s="14"/>
    </row>
    <row r="123" spans="1:17" x14ac:dyDescent="0.2">
      <c r="B123" s="1">
        <v>103</v>
      </c>
      <c r="C123" s="13">
        <f t="shared" si="6"/>
        <v>47603</v>
      </c>
      <c r="D123" s="46" t="str">
        <f>IF(COUNTIFS('PAYG INDICATIVE OPTIONS'!$U$4:$X$9,'Loan Repayment Input Sheet'!B123)&gt;0,0,"")</f>
        <v/>
      </c>
      <c r="E123" s="27" t="str">
        <f>IF(COUNTIFS('PAYG INDICATIVE OPTIONS'!$X$4:$X$9,'Loan Repayment Input Sheet'!B123)&gt;0,0,"")</f>
        <v/>
      </c>
      <c r="F123" s="44">
        <f t="shared" si="7"/>
        <v>0</v>
      </c>
      <c r="G123" s="29">
        <f t="shared" si="8"/>
        <v>0</v>
      </c>
      <c r="H123" s="29">
        <f t="shared" si="9"/>
        <v>0</v>
      </c>
      <c r="I123" s="29">
        <f t="shared" si="10"/>
        <v>0</v>
      </c>
      <c r="J123" s="29">
        <f t="shared" si="11"/>
        <v>0</v>
      </c>
      <c r="K123" s="41"/>
      <c r="L123" s="41"/>
      <c r="M123" s="41"/>
      <c r="N123" s="41"/>
      <c r="Q123" s="14"/>
    </row>
    <row r="124" spans="1:17" x14ac:dyDescent="0.2">
      <c r="B124" s="1">
        <v>104</v>
      </c>
      <c r="C124" s="13">
        <f t="shared" si="6"/>
        <v>47634</v>
      </c>
      <c r="D124" s="46" t="str">
        <f>IF(COUNTIFS('PAYG INDICATIVE OPTIONS'!$U$4:$X$9,'Loan Repayment Input Sheet'!B124)&gt;0,0,"")</f>
        <v/>
      </c>
      <c r="E124" s="27" t="str">
        <f>IF(COUNTIFS('PAYG INDICATIVE OPTIONS'!$X$4:$X$9,'Loan Repayment Input Sheet'!B124)&gt;0,0,"")</f>
        <v/>
      </c>
      <c r="F124" s="44">
        <f t="shared" si="7"/>
        <v>0</v>
      </c>
      <c r="G124" s="29">
        <f t="shared" si="8"/>
        <v>0</v>
      </c>
      <c r="H124" s="29">
        <f t="shared" si="9"/>
        <v>0</v>
      </c>
      <c r="I124" s="29">
        <f t="shared" si="10"/>
        <v>0</v>
      </c>
      <c r="J124" s="29">
        <f t="shared" si="11"/>
        <v>0</v>
      </c>
      <c r="K124" s="41"/>
      <c r="L124" s="41"/>
      <c r="M124" s="41"/>
      <c r="N124" s="41"/>
      <c r="Q124" s="14"/>
    </row>
    <row r="125" spans="1:17" x14ac:dyDescent="0.2">
      <c r="A125" s="1" t="str">
        <f>IF($A$18=1,"",IF($A$18=3,27))</f>
        <v/>
      </c>
      <c r="B125" s="1">
        <v>105</v>
      </c>
      <c r="C125" s="13">
        <f t="shared" si="6"/>
        <v>47664</v>
      </c>
      <c r="D125" s="46" t="str">
        <f>IF(COUNTIFS('PAYG INDICATIVE OPTIONS'!$U$4:$X$9,'Loan Repayment Input Sheet'!B125)&gt;0,0,"")</f>
        <v/>
      </c>
      <c r="E125" s="27" t="str">
        <f>IF(COUNTIFS('PAYG INDICATIVE OPTIONS'!$X$4:$X$9,'Loan Repayment Input Sheet'!B125)&gt;0,0,"")</f>
        <v/>
      </c>
      <c r="F125" s="44">
        <f t="shared" si="7"/>
        <v>0</v>
      </c>
      <c r="G125" s="29">
        <f t="shared" si="8"/>
        <v>0</v>
      </c>
      <c r="H125" s="29">
        <f t="shared" si="9"/>
        <v>0</v>
      </c>
      <c r="I125" s="29">
        <f t="shared" si="10"/>
        <v>0</v>
      </c>
      <c r="J125" s="29">
        <f t="shared" si="11"/>
        <v>0</v>
      </c>
      <c r="K125" s="41"/>
      <c r="L125" s="41"/>
      <c r="M125" s="41"/>
      <c r="N125" s="41"/>
      <c r="Q125" s="14"/>
    </row>
    <row r="126" spans="1:17" x14ac:dyDescent="0.2">
      <c r="B126" s="1">
        <v>106</v>
      </c>
      <c r="C126" s="13">
        <f t="shared" si="6"/>
        <v>47695</v>
      </c>
      <c r="D126" s="46" t="str">
        <f>IF(COUNTIFS('PAYG INDICATIVE OPTIONS'!$U$4:$X$9,'Loan Repayment Input Sheet'!B126)&gt;0,0,"")</f>
        <v/>
      </c>
      <c r="E126" s="27" t="str">
        <f>IF(COUNTIFS('PAYG INDICATIVE OPTIONS'!$X$4:$X$9,'Loan Repayment Input Sheet'!B126)&gt;0,0,"")</f>
        <v/>
      </c>
      <c r="F126" s="44">
        <f t="shared" si="7"/>
        <v>0</v>
      </c>
      <c r="G126" s="29">
        <f t="shared" si="8"/>
        <v>0</v>
      </c>
      <c r="H126" s="29">
        <f t="shared" si="9"/>
        <v>0</v>
      </c>
      <c r="I126" s="29">
        <f t="shared" si="10"/>
        <v>0</v>
      </c>
      <c r="J126" s="29">
        <f t="shared" si="11"/>
        <v>0</v>
      </c>
      <c r="K126" s="41"/>
      <c r="L126" s="41"/>
      <c r="M126" s="41"/>
      <c r="N126" s="41"/>
      <c r="Q126" s="14"/>
    </row>
    <row r="127" spans="1:17" x14ac:dyDescent="0.2">
      <c r="B127" s="1">
        <v>107</v>
      </c>
      <c r="C127" s="13">
        <f t="shared" si="6"/>
        <v>47726</v>
      </c>
      <c r="D127" s="46" t="str">
        <f>IF(COUNTIFS('PAYG INDICATIVE OPTIONS'!$U$4:$X$9,'Loan Repayment Input Sheet'!B127)&gt;0,0,"")</f>
        <v/>
      </c>
      <c r="E127" s="27" t="str">
        <f>IF(COUNTIFS('PAYG INDICATIVE OPTIONS'!$X$4:$X$9,'Loan Repayment Input Sheet'!B127)&gt;0,0,"")</f>
        <v/>
      </c>
      <c r="F127" s="44">
        <f t="shared" si="7"/>
        <v>0</v>
      </c>
      <c r="G127" s="29">
        <f t="shared" si="8"/>
        <v>0</v>
      </c>
      <c r="H127" s="29">
        <f t="shared" si="9"/>
        <v>0</v>
      </c>
      <c r="I127" s="29">
        <f t="shared" si="10"/>
        <v>0</v>
      </c>
      <c r="J127" s="29">
        <f t="shared" si="11"/>
        <v>0</v>
      </c>
      <c r="K127" s="41"/>
      <c r="L127" s="41"/>
      <c r="M127" s="41"/>
      <c r="N127" s="41"/>
      <c r="Q127" s="14"/>
    </row>
    <row r="128" spans="1:17" x14ac:dyDescent="0.2">
      <c r="B128" s="1">
        <v>108</v>
      </c>
      <c r="C128" s="13">
        <f t="shared" si="6"/>
        <v>47756</v>
      </c>
      <c r="D128" s="46" t="str">
        <f>IF(COUNTIFS('PAYG INDICATIVE OPTIONS'!$U$4:$X$9,'Loan Repayment Input Sheet'!B128)&gt;0,0,"")</f>
        <v/>
      </c>
      <c r="E128" s="27" t="str">
        <f>IF(COUNTIFS('PAYG INDICATIVE OPTIONS'!$X$4:$X$9,'Loan Repayment Input Sheet'!B128)&gt;0,0,"")</f>
        <v/>
      </c>
      <c r="F128" s="44">
        <f t="shared" si="7"/>
        <v>0</v>
      </c>
      <c r="G128" s="29">
        <f t="shared" si="8"/>
        <v>0</v>
      </c>
      <c r="H128" s="29">
        <f t="shared" si="9"/>
        <v>0</v>
      </c>
      <c r="I128" s="29">
        <f t="shared" si="10"/>
        <v>0</v>
      </c>
      <c r="J128" s="29">
        <f t="shared" si="11"/>
        <v>0</v>
      </c>
      <c r="K128" s="41"/>
      <c r="L128" s="41"/>
      <c r="M128" s="41"/>
      <c r="N128" s="41"/>
      <c r="Q128" s="14"/>
    </row>
    <row r="129" spans="1:17" x14ac:dyDescent="0.2">
      <c r="A129" s="1">
        <f>IF($A$18=1,10,IF($A$18=3,28))</f>
        <v>10</v>
      </c>
      <c r="B129" s="1">
        <v>109</v>
      </c>
      <c r="C129" s="13">
        <f t="shared" si="6"/>
        <v>47787</v>
      </c>
      <c r="D129" s="46" t="str">
        <f>IF(COUNTIFS('PAYG INDICATIVE OPTIONS'!$U$4:$X$9,'Loan Repayment Input Sheet'!B129)&gt;0,0,"")</f>
        <v/>
      </c>
      <c r="E129" s="27"/>
      <c r="F129" s="44">
        <f t="shared" si="7"/>
        <v>0</v>
      </c>
      <c r="G129" s="29">
        <f t="shared" si="8"/>
        <v>0</v>
      </c>
      <c r="H129" s="29">
        <f t="shared" si="9"/>
        <v>0</v>
      </c>
      <c r="I129" s="29">
        <f t="shared" si="10"/>
        <v>0</v>
      </c>
      <c r="J129" s="29">
        <f t="shared" si="11"/>
        <v>0</v>
      </c>
      <c r="K129" s="41"/>
      <c r="L129" s="41"/>
      <c r="M129" s="41"/>
      <c r="N129" s="41"/>
      <c r="Q129" s="14"/>
    </row>
    <row r="130" spans="1:17" x14ac:dyDescent="0.2">
      <c r="B130" s="1">
        <v>110</v>
      </c>
      <c r="C130" s="13">
        <f t="shared" si="6"/>
        <v>47817</v>
      </c>
      <c r="D130" s="46" t="str">
        <f>IF(COUNTIFS('PAYG INDICATIVE OPTIONS'!$U$4:$X$9,'Loan Repayment Input Sheet'!B130)&gt;0,0,"")</f>
        <v/>
      </c>
      <c r="E130" s="27"/>
      <c r="F130" s="44">
        <f t="shared" si="7"/>
        <v>0</v>
      </c>
      <c r="G130" s="29">
        <f t="shared" si="8"/>
        <v>0</v>
      </c>
      <c r="H130" s="29">
        <f t="shared" si="9"/>
        <v>0</v>
      </c>
      <c r="I130" s="29">
        <f t="shared" si="10"/>
        <v>0</v>
      </c>
      <c r="J130" s="29">
        <f t="shared" si="11"/>
        <v>0</v>
      </c>
      <c r="K130" s="41"/>
      <c r="L130" s="41"/>
      <c r="M130" s="41"/>
      <c r="N130" s="41"/>
      <c r="Q130" s="14"/>
    </row>
    <row r="131" spans="1:17" x14ac:dyDescent="0.2">
      <c r="B131" s="1">
        <v>111</v>
      </c>
      <c r="C131" s="13">
        <f t="shared" si="6"/>
        <v>47848</v>
      </c>
      <c r="D131" s="46" t="str">
        <f>IF(COUNTIFS('PAYG INDICATIVE OPTIONS'!$U$4:$X$9,'Loan Repayment Input Sheet'!B131)&gt;0,0,"")</f>
        <v/>
      </c>
      <c r="E131" s="27"/>
      <c r="F131" s="44">
        <f t="shared" si="7"/>
        <v>0</v>
      </c>
      <c r="G131" s="29">
        <f t="shared" si="8"/>
        <v>0</v>
      </c>
      <c r="H131" s="29">
        <f t="shared" si="9"/>
        <v>0</v>
      </c>
      <c r="I131" s="29">
        <f t="shared" si="10"/>
        <v>0</v>
      </c>
      <c r="J131" s="29">
        <f t="shared" si="11"/>
        <v>0</v>
      </c>
      <c r="K131" s="41"/>
      <c r="L131" s="41"/>
      <c r="M131" s="41"/>
      <c r="N131" s="41"/>
      <c r="Q131" s="14"/>
    </row>
    <row r="132" spans="1:17" x14ac:dyDescent="0.2">
      <c r="B132" s="1">
        <v>112</v>
      </c>
      <c r="C132" s="13">
        <f t="shared" si="6"/>
        <v>47879</v>
      </c>
      <c r="D132" s="46" t="str">
        <f>IF(COUNTIFS('PAYG INDICATIVE OPTIONS'!$U$4:$X$9,'Loan Repayment Input Sheet'!B132)&gt;0,0,"")</f>
        <v/>
      </c>
      <c r="E132" s="27"/>
      <c r="F132" s="44">
        <f t="shared" si="7"/>
        <v>0</v>
      </c>
      <c r="G132" s="29">
        <f t="shared" si="8"/>
        <v>0</v>
      </c>
      <c r="H132" s="29">
        <f t="shared" si="9"/>
        <v>0</v>
      </c>
      <c r="I132" s="29">
        <f t="shared" si="10"/>
        <v>0</v>
      </c>
      <c r="J132" s="29">
        <f t="shared" si="11"/>
        <v>0</v>
      </c>
      <c r="K132" s="41"/>
      <c r="L132" s="41"/>
      <c r="M132" s="41"/>
      <c r="N132" s="41"/>
      <c r="Q132" s="14"/>
    </row>
    <row r="133" spans="1:17" x14ac:dyDescent="0.2">
      <c r="A133" s="1" t="str">
        <f>IF($A$18=1,"",IF($A$18=3,29))</f>
        <v/>
      </c>
      <c r="B133" s="1">
        <v>113</v>
      </c>
      <c r="C133" s="13">
        <f t="shared" si="6"/>
        <v>47907</v>
      </c>
      <c r="D133" s="46" t="str">
        <f>IF(COUNTIFS('PAYG INDICATIVE OPTIONS'!$U$4:$X$9,'Loan Repayment Input Sheet'!B133)&gt;0,0,"")</f>
        <v/>
      </c>
      <c r="E133" s="27"/>
      <c r="F133" s="44">
        <f t="shared" si="7"/>
        <v>0</v>
      </c>
      <c r="G133" s="29">
        <f t="shared" si="8"/>
        <v>0</v>
      </c>
      <c r="H133" s="29">
        <f t="shared" si="9"/>
        <v>0</v>
      </c>
      <c r="I133" s="29">
        <f t="shared" si="10"/>
        <v>0</v>
      </c>
      <c r="J133" s="29">
        <f t="shared" si="11"/>
        <v>0</v>
      </c>
      <c r="K133" s="41"/>
      <c r="L133" s="41"/>
      <c r="M133" s="41"/>
      <c r="N133" s="41"/>
      <c r="Q133" s="14"/>
    </row>
    <row r="134" spans="1:17" x14ac:dyDescent="0.2">
      <c r="B134" s="1">
        <v>114</v>
      </c>
      <c r="C134" s="13">
        <f t="shared" si="6"/>
        <v>47938</v>
      </c>
      <c r="D134" s="46" t="str">
        <f>IF(COUNTIFS('PAYG INDICATIVE OPTIONS'!$U$4:$X$9,'Loan Repayment Input Sheet'!B134)&gt;0,0,"")</f>
        <v/>
      </c>
      <c r="E134" s="27"/>
      <c r="F134" s="44">
        <f t="shared" si="7"/>
        <v>0</v>
      </c>
      <c r="G134" s="29">
        <f t="shared" si="8"/>
        <v>0</v>
      </c>
      <c r="H134" s="29">
        <f t="shared" si="9"/>
        <v>0</v>
      </c>
      <c r="I134" s="29">
        <f t="shared" si="10"/>
        <v>0</v>
      </c>
      <c r="J134" s="29">
        <f t="shared" si="11"/>
        <v>0</v>
      </c>
      <c r="K134" s="41"/>
      <c r="L134" s="41"/>
      <c r="M134" s="41"/>
      <c r="N134" s="41"/>
      <c r="Q134" s="14"/>
    </row>
    <row r="135" spans="1:17" x14ac:dyDescent="0.2">
      <c r="B135" s="1">
        <v>115</v>
      </c>
      <c r="C135" s="13">
        <f t="shared" si="6"/>
        <v>47968</v>
      </c>
      <c r="D135" s="46" t="str">
        <f>IF(COUNTIFS('PAYG INDICATIVE OPTIONS'!$U$4:$X$9,'Loan Repayment Input Sheet'!B135)&gt;0,0,"")</f>
        <v/>
      </c>
      <c r="E135" s="27"/>
      <c r="F135" s="44">
        <f t="shared" si="7"/>
        <v>0</v>
      </c>
      <c r="G135" s="29">
        <f t="shared" si="8"/>
        <v>0</v>
      </c>
      <c r="H135" s="29">
        <f t="shared" si="9"/>
        <v>0</v>
      </c>
      <c r="I135" s="29">
        <f t="shared" si="10"/>
        <v>0</v>
      </c>
      <c r="J135" s="29">
        <f t="shared" si="11"/>
        <v>0</v>
      </c>
      <c r="K135" s="41"/>
      <c r="L135" s="41"/>
      <c r="M135" s="41"/>
      <c r="N135" s="41"/>
      <c r="Q135" s="14"/>
    </row>
    <row r="136" spans="1:17" x14ac:dyDescent="0.2">
      <c r="B136" s="1">
        <v>116</v>
      </c>
      <c r="C136" s="13">
        <f t="shared" si="6"/>
        <v>47999</v>
      </c>
      <c r="D136" s="46" t="str">
        <f>IF(COUNTIFS('PAYG INDICATIVE OPTIONS'!$U$4:$X$9,'Loan Repayment Input Sheet'!B136)&gt;0,0,"")</f>
        <v/>
      </c>
      <c r="E136" s="27"/>
      <c r="F136" s="44">
        <f t="shared" si="7"/>
        <v>0</v>
      </c>
      <c r="G136" s="29">
        <f t="shared" si="8"/>
        <v>0</v>
      </c>
      <c r="H136" s="29">
        <f t="shared" si="9"/>
        <v>0</v>
      </c>
      <c r="I136" s="29">
        <f t="shared" si="10"/>
        <v>0</v>
      </c>
      <c r="J136" s="29">
        <f t="shared" si="11"/>
        <v>0</v>
      </c>
      <c r="K136" s="41"/>
      <c r="L136" s="41"/>
      <c r="M136" s="41"/>
      <c r="N136" s="41"/>
      <c r="Q136" s="14"/>
    </row>
    <row r="137" spans="1:17" x14ac:dyDescent="0.2">
      <c r="A137" s="1" t="str">
        <f>IF($A$18=1,"",IF($A$18=3,30))</f>
        <v/>
      </c>
      <c r="B137" s="1">
        <v>117</v>
      </c>
      <c r="C137" s="13">
        <f t="shared" si="6"/>
        <v>48029</v>
      </c>
      <c r="D137" s="46" t="str">
        <f>IF(COUNTIFS('PAYG INDICATIVE OPTIONS'!$U$4:$X$9,'Loan Repayment Input Sheet'!B137)&gt;0,0,"")</f>
        <v/>
      </c>
      <c r="E137" s="27"/>
      <c r="F137" s="44">
        <f t="shared" si="7"/>
        <v>0</v>
      </c>
      <c r="G137" s="29">
        <f t="shared" si="8"/>
        <v>0</v>
      </c>
      <c r="H137" s="29">
        <f t="shared" si="9"/>
        <v>0</v>
      </c>
      <c r="I137" s="29">
        <f t="shared" si="10"/>
        <v>0</v>
      </c>
      <c r="J137" s="29">
        <f t="shared" si="11"/>
        <v>0</v>
      </c>
      <c r="K137" s="41"/>
      <c r="L137" s="41"/>
      <c r="M137" s="41"/>
      <c r="N137" s="41"/>
      <c r="Q137" s="14"/>
    </row>
    <row r="138" spans="1:17" x14ac:dyDescent="0.2">
      <c r="B138" s="1">
        <v>118</v>
      </c>
      <c r="C138" s="13">
        <f t="shared" si="6"/>
        <v>48060</v>
      </c>
      <c r="D138" s="46" t="str">
        <f>IF(COUNTIFS('PAYG INDICATIVE OPTIONS'!$U$4:$X$9,'Loan Repayment Input Sheet'!B138)&gt;0,0,"")</f>
        <v/>
      </c>
      <c r="E138" s="27"/>
      <c r="F138" s="44">
        <f t="shared" si="7"/>
        <v>0</v>
      </c>
      <c r="G138" s="29">
        <f t="shared" si="8"/>
        <v>0</v>
      </c>
      <c r="H138" s="29">
        <f t="shared" si="9"/>
        <v>0</v>
      </c>
      <c r="I138" s="29">
        <f t="shared" si="10"/>
        <v>0</v>
      </c>
      <c r="J138" s="29">
        <f t="shared" si="11"/>
        <v>0</v>
      </c>
      <c r="K138" s="41"/>
      <c r="L138" s="41"/>
      <c r="M138" s="41"/>
      <c r="N138" s="41"/>
      <c r="Q138" s="14"/>
    </row>
    <row r="139" spans="1:17" x14ac:dyDescent="0.2">
      <c r="B139" s="1">
        <v>119</v>
      </c>
      <c r="C139" s="13">
        <f t="shared" si="6"/>
        <v>48091</v>
      </c>
      <c r="D139" s="46" t="str">
        <f>IF(COUNTIFS('PAYG INDICATIVE OPTIONS'!$U$4:$X$9,'Loan Repayment Input Sheet'!B139)&gt;0,0,"")</f>
        <v/>
      </c>
      <c r="E139" s="27"/>
      <c r="F139" s="44">
        <f t="shared" si="7"/>
        <v>0</v>
      </c>
      <c r="G139" s="29">
        <f t="shared" si="8"/>
        <v>0</v>
      </c>
      <c r="H139" s="29">
        <f t="shared" si="9"/>
        <v>0</v>
      </c>
      <c r="I139" s="29">
        <f t="shared" si="10"/>
        <v>0</v>
      </c>
      <c r="J139" s="29">
        <f t="shared" si="11"/>
        <v>0</v>
      </c>
      <c r="K139" s="41"/>
      <c r="L139" s="41"/>
      <c r="M139" s="41"/>
      <c r="N139" s="41"/>
      <c r="Q139" s="14"/>
    </row>
    <row r="140" spans="1:17" x14ac:dyDescent="0.2">
      <c r="B140" s="1">
        <v>120</v>
      </c>
      <c r="C140" s="13">
        <f t="shared" si="6"/>
        <v>48121</v>
      </c>
      <c r="D140" s="46" t="str">
        <f>IF(COUNTIFS('PAYG INDICATIVE OPTIONS'!$U$4:$X$9,'Loan Repayment Input Sheet'!B140)&gt;0,0,"")</f>
        <v/>
      </c>
      <c r="E140" s="27"/>
      <c r="F140" s="44">
        <f t="shared" si="7"/>
        <v>0</v>
      </c>
      <c r="G140" s="29">
        <f t="shared" si="8"/>
        <v>0</v>
      </c>
      <c r="H140" s="29">
        <f t="shared" si="9"/>
        <v>0</v>
      </c>
      <c r="I140" s="29">
        <f t="shared" si="10"/>
        <v>0</v>
      </c>
      <c r="J140" s="29">
        <f t="shared" si="11"/>
        <v>0</v>
      </c>
      <c r="K140" s="41"/>
      <c r="L140" s="41"/>
      <c r="M140" s="41"/>
      <c r="N140" s="41"/>
      <c r="Q140" s="14"/>
    </row>
    <row r="141" spans="1:17" x14ac:dyDescent="0.2">
      <c r="A141" s="1">
        <f>IF($A$18=1,11,IF($A$18=3,31))</f>
        <v>11</v>
      </c>
      <c r="B141" s="1">
        <v>121</v>
      </c>
      <c r="C141" s="13">
        <f t="shared" si="6"/>
        <v>48152</v>
      </c>
      <c r="D141" s="46" t="str">
        <f>IF(COUNTIFS('PAYG INDICATIVE OPTIONS'!$U$4:$X$9,'Loan Repayment Input Sheet'!B141)&gt;0,0,"")</f>
        <v/>
      </c>
      <c r="E141" s="27"/>
      <c r="F141" s="44">
        <f t="shared" si="7"/>
        <v>0</v>
      </c>
      <c r="G141" s="29">
        <f t="shared" si="8"/>
        <v>0</v>
      </c>
      <c r="H141" s="29">
        <f t="shared" si="9"/>
        <v>0</v>
      </c>
      <c r="I141" s="29">
        <f t="shared" si="10"/>
        <v>0</v>
      </c>
      <c r="J141" s="29">
        <f t="shared" si="11"/>
        <v>0</v>
      </c>
      <c r="K141" s="41"/>
      <c r="L141" s="41"/>
      <c r="M141" s="41"/>
      <c r="N141" s="41"/>
      <c r="Q141" s="14"/>
    </row>
    <row r="142" spans="1:17" x14ac:dyDescent="0.2">
      <c r="B142" s="1">
        <v>122</v>
      </c>
      <c r="C142" s="13">
        <f t="shared" si="6"/>
        <v>48182</v>
      </c>
      <c r="D142" s="46" t="str">
        <f>IF(COUNTIFS('PAYG INDICATIVE OPTIONS'!$U$4:$X$9,'Loan Repayment Input Sheet'!B142)&gt;0,0,"")</f>
        <v/>
      </c>
      <c r="E142" s="27"/>
      <c r="F142" s="44">
        <f t="shared" si="7"/>
        <v>0</v>
      </c>
      <c r="G142" s="29">
        <f t="shared" si="8"/>
        <v>0</v>
      </c>
      <c r="H142" s="29">
        <f t="shared" si="9"/>
        <v>0</v>
      </c>
      <c r="I142" s="29">
        <f t="shared" si="10"/>
        <v>0</v>
      </c>
      <c r="J142" s="29">
        <f t="shared" si="11"/>
        <v>0</v>
      </c>
      <c r="K142" s="41"/>
      <c r="L142" s="41"/>
      <c r="M142" s="41"/>
      <c r="N142" s="41"/>
      <c r="Q142" s="14"/>
    </row>
    <row r="143" spans="1:17" x14ac:dyDescent="0.2">
      <c r="B143" s="1">
        <v>123</v>
      </c>
      <c r="C143" s="13">
        <f t="shared" si="6"/>
        <v>48213</v>
      </c>
      <c r="D143" s="46" t="str">
        <f>IF(COUNTIFS('PAYG INDICATIVE OPTIONS'!$U$4:$X$9,'Loan Repayment Input Sheet'!B143)&gt;0,0,"")</f>
        <v/>
      </c>
      <c r="E143" s="27"/>
      <c r="F143" s="44">
        <f t="shared" si="7"/>
        <v>0</v>
      </c>
      <c r="G143" s="29">
        <f t="shared" si="8"/>
        <v>0</v>
      </c>
      <c r="H143" s="29">
        <f t="shared" si="9"/>
        <v>0</v>
      </c>
      <c r="I143" s="29">
        <f t="shared" si="10"/>
        <v>0</v>
      </c>
      <c r="J143" s="29">
        <f t="shared" si="11"/>
        <v>0</v>
      </c>
      <c r="K143" s="41"/>
      <c r="L143" s="41"/>
      <c r="M143" s="41"/>
      <c r="N143" s="41"/>
      <c r="Q143" s="14"/>
    </row>
    <row r="144" spans="1:17" x14ac:dyDescent="0.2">
      <c r="B144" s="1">
        <v>124</v>
      </c>
      <c r="C144" s="13">
        <f t="shared" si="6"/>
        <v>48244</v>
      </c>
      <c r="D144" s="46" t="str">
        <f>IF(COUNTIFS('PAYG INDICATIVE OPTIONS'!$U$4:$X$9,'Loan Repayment Input Sheet'!B144)&gt;0,0,"")</f>
        <v/>
      </c>
      <c r="E144" s="27"/>
      <c r="F144" s="44">
        <f t="shared" si="7"/>
        <v>0</v>
      </c>
      <c r="G144" s="29">
        <f t="shared" si="8"/>
        <v>0</v>
      </c>
      <c r="H144" s="29">
        <f t="shared" si="9"/>
        <v>0</v>
      </c>
      <c r="I144" s="29">
        <f t="shared" si="10"/>
        <v>0</v>
      </c>
      <c r="J144" s="29">
        <f t="shared" si="11"/>
        <v>0</v>
      </c>
      <c r="K144" s="41"/>
      <c r="L144" s="41"/>
      <c r="M144" s="41"/>
      <c r="N144" s="41"/>
      <c r="Q144" s="14"/>
    </row>
    <row r="145" spans="1:17" x14ac:dyDescent="0.2">
      <c r="A145" s="1" t="str">
        <f>IF($A$18=1,"",IF($A$18=3,32))</f>
        <v/>
      </c>
      <c r="B145" s="1">
        <v>125</v>
      </c>
      <c r="C145" s="13">
        <f t="shared" si="6"/>
        <v>48273</v>
      </c>
      <c r="D145" s="46" t="str">
        <f>IF(COUNTIFS('PAYG INDICATIVE OPTIONS'!$U$4:$X$9,'Loan Repayment Input Sheet'!B145)&gt;0,0,"")</f>
        <v/>
      </c>
      <c r="E145" s="27"/>
      <c r="F145" s="44">
        <f t="shared" si="7"/>
        <v>0</v>
      </c>
      <c r="G145" s="29">
        <f t="shared" si="8"/>
        <v>0</v>
      </c>
      <c r="H145" s="29">
        <f t="shared" si="9"/>
        <v>0</v>
      </c>
      <c r="I145" s="29">
        <f t="shared" si="10"/>
        <v>0</v>
      </c>
      <c r="J145" s="29">
        <f t="shared" si="11"/>
        <v>0</v>
      </c>
      <c r="K145" s="41"/>
      <c r="L145" s="41"/>
      <c r="M145" s="41"/>
      <c r="N145" s="41"/>
      <c r="Q145" s="14"/>
    </row>
    <row r="146" spans="1:17" x14ac:dyDescent="0.2">
      <c r="B146" s="1">
        <v>126</v>
      </c>
      <c r="C146" s="13">
        <f t="shared" ref="C146:C209" si="12">EOMONTH(C145,$A$18)</f>
        <v>48304</v>
      </c>
      <c r="D146" s="46" t="str">
        <f>IF(COUNTIFS('PAYG INDICATIVE OPTIONS'!$U$4:$X$9,'Loan Repayment Input Sheet'!B146)&gt;0,0,"")</f>
        <v/>
      </c>
      <c r="E146" s="27"/>
      <c r="F146" s="44">
        <f t="shared" si="7"/>
        <v>0</v>
      </c>
      <c r="G146" s="29">
        <f t="shared" si="8"/>
        <v>0</v>
      </c>
      <c r="H146" s="29">
        <f t="shared" si="9"/>
        <v>0</v>
      </c>
      <c r="I146" s="29">
        <f t="shared" si="10"/>
        <v>0</v>
      </c>
      <c r="J146" s="29">
        <f t="shared" si="11"/>
        <v>0</v>
      </c>
      <c r="K146" s="41"/>
      <c r="L146" s="41"/>
      <c r="M146" s="41"/>
      <c r="N146" s="41"/>
      <c r="Q146" s="14"/>
    </row>
    <row r="147" spans="1:17" x14ac:dyDescent="0.2">
      <c r="B147" s="1">
        <v>127</v>
      </c>
      <c r="C147" s="13">
        <f t="shared" si="12"/>
        <v>48334</v>
      </c>
      <c r="D147" s="46" t="str">
        <f>IF(COUNTIFS('PAYG INDICATIVE OPTIONS'!$U$4:$X$9,'Loan Repayment Input Sheet'!B147)&gt;0,0,"")</f>
        <v/>
      </c>
      <c r="E147" s="27"/>
      <c r="F147" s="44">
        <f t="shared" si="7"/>
        <v>0</v>
      </c>
      <c r="G147" s="29">
        <f t="shared" si="8"/>
        <v>0</v>
      </c>
      <c r="H147" s="29">
        <f t="shared" si="9"/>
        <v>0</v>
      </c>
      <c r="I147" s="29">
        <f t="shared" si="10"/>
        <v>0</v>
      </c>
      <c r="J147" s="29">
        <f t="shared" si="11"/>
        <v>0</v>
      </c>
      <c r="K147" s="41"/>
      <c r="L147" s="41"/>
      <c r="M147" s="41"/>
      <c r="N147" s="41"/>
      <c r="Q147" s="14"/>
    </row>
    <row r="148" spans="1:17" x14ac:dyDescent="0.2">
      <c r="B148" s="1">
        <v>128</v>
      </c>
      <c r="C148" s="13">
        <f t="shared" si="12"/>
        <v>48365</v>
      </c>
      <c r="D148" s="46" t="str">
        <f>IF(COUNTIFS('PAYG INDICATIVE OPTIONS'!$U$4:$X$9,'Loan Repayment Input Sheet'!B148)&gt;0,0,"")</f>
        <v/>
      </c>
      <c r="E148" s="27"/>
      <c r="F148" s="44">
        <f t="shared" si="7"/>
        <v>0</v>
      </c>
      <c r="G148" s="29">
        <f t="shared" si="8"/>
        <v>0</v>
      </c>
      <c r="H148" s="29">
        <f t="shared" si="9"/>
        <v>0</v>
      </c>
      <c r="I148" s="29">
        <f t="shared" si="10"/>
        <v>0</v>
      </c>
      <c r="J148" s="29">
        <f t="shared" si="11"/>
        <v>0</v>
      </c>
      <c r="K148" s="41"/>
      <c r="L148" s="41"/>
      <c r="M148" s="41"/>
      <c r="N148" s="41"/>
      <c r="Q148" s="14"/>
    </row>
    <row r="149" spans="1:17" x14ac:dyDescent="0.2">
      <c r="B149" s="1">
        <v>129</v>
      </c>
      <c r="C149" s="13">
        <f t="shared" si="12"/>
        <v>48395</v>
      </c>
      <c r="D149" s="46" t="str">
        <f>IF(COUNTIFS('PAYG INDICATIVE OPTIONS'!$U$4:$X$9,'Loan Repayment Input Sheet'!B149)&gt;0,0,"")</f>
        <v/>
      </c>
      <c r="E149" s="27"/>
      <c r="F149" s="44">
        <f t="shared" ref="F149:F212" si="13">IF(AND($H$10="Yes",$C149&lt;$H$11),J148*$H$12/$M$5,J148*$M$8/$M$5)</f>
        <v>0</v>
      </c>
      <c r="G149" s="29">
        <f t="shared" ref="G149:G212" si="14">IF(E149="",IF(AND($H$10="Yes",$C149&lt;$H$11),J148*$H$12/$M$5,J148*$M$8/$M$5),E149)</f>
        <v>0</v>
      </c>
      <c r="H149" s="29">
        <f t="shared" si="9"/>
        <v>0</v>
      </c>
      <c r="I149" s="29">
        <f t="shared" si="10"/>
        <v>0</v>
      </c>
      <c r="J149" s="29">
        <f t="shared" si="11"/>
        <v>0</v>
      </c>
      <c r="K149" s="41"/>
      <c r="L149" s="41"/>
      <c r="M149" s="41"/>
      <c r="N149" s="41"/>
      <c r="Q149" s="14"/>
    </row>
    <row r="150" spans="1:17" x14ac:dyDescent="0.2">
      <c r="B150" s="1">
        <v>130</v>
      </c>
      <c r="C150" s="13">
        <f t="shared" si="12"/>
        <v>48426</v>
      </c>
      <c r="D150" s="46" t="str">
        <f>IF(COUNTIFS('PAYG INDICATIVE OPTIONS'!$U$4:$X$9,'Loan Repayment Input Sheet'!B150)&gt;0,0,"")</f>
        <v/>
      </c>
      <c r="E150" s="27"/>
      <c r="F150" s="44">
        <f t="shared" si="13"/>
        <v>0</v>
      </c>
      <c r="G150" s="29">
        <f t="shared" si="14"/>
        <v>0</v>
      </c>
      <c r="H150" s="29">
        <f t="shared" ref="H150:H213" si="15">IF(D150="",I150-G150,D150)</f>
        <v>0</v>
      </c>
      <c r="I150" s="29">
        <f t="shared" ref="I150:I213" si="16">IF(D150&lt;&gt;"",
D150+G150,
IF($H$14&lt;&gt;"",
$H$14,
IF($H$15&lt;&gt;"",
$H$15+G150,
IF(AND($H$10="Yes",$C150&lt;$H$11),
IF(ISERROR(ABS(PMT($H$12/$M$5,$M$6-B149,J149))),0,ABS(PMT($H$12/$M$5,$M$6-B149,J149))),
IF(ISERROR(ABS(PMT($M$8/$M$5,$M$6-B149,J149))),0,ABS(PMT($M$8/$M$5,$M$6-B149,J149)))))))</f>
        <v>0</v>
      </c>
      <c r="J150" s="29">
        <f t="shared" ref="J150:J213" si="17">J149-(I150-F150)</f>
        <v>0</v>
      </c>
      <c r="K150" s="41"/>
      <c r="L150" s="41"/>
      <c r="M150" s="41"/>
      <c r="N150" s="41"/>
      <c r="Q150" s="14"/>
    </row>
    <row r="151" spans="1:17" x14ac:dyDescent="0.2">
      <c r="B151" s="1">
        <v>131</v>
      </c>
      <c r="C151" s="13">
        <f t="shared" si="12"/>
        <v>48457</v>
      </c>
      <c r="D151" s="46" t="str">
        <f>IF(COUNTIFS('PAYG INDICATIVE OPTIONS'!$U$4:$X$9,'Loan Repayment Input Sheet'!B151)&gt;0,0,"")</f>
        <v/>
      </c>
      <c r="E151" s="27"/>
      <c r="F151" s="44">
        <f t="shared" si="13"/>
        <v>0</v>
      </c>
      <c r="G151" s="29">
        <f t="shared" si="14"/>
        <v>0</v>
      </c>
      <c r="H151" s="29">
        <f t="shared" si="15"/>
        <v>0</v>
      </c>
      <c r="I151" s="29">
        <f t="shared" si="16"/>
        <v>0</v>
      </c>
      <c r="J151" s="29">
        <f t="shared" si="17"/>
        <v>0</v>
      </c>
      <c r="K151" s="41"/>
      <c r="L151" s="41"/>
      <c r="M151" s="41"/>
      <c r="N151" s="41"/>
      <c r="Q151" s="14"/>
    </row>
    <row r="152" spans="1:17" x14ac:dyDescent="0.2">
      <c r="B152" s="1">
        <v>132</v>
      </c>
      <c r="C152" s="13">
        <f t="shared" si="12"/>
        <v>48487</v>
      </c>
      <c r="D152" s="46" t="str">
        <f>IF(COUNTIFS('PAYG INDICATIVE OPTIONS'!$U$4:$X$9,'Loan Repayment Input Sheet'!B152)&gt;0,0,"")</f>
        <v/>
      </c>
      <c r="E152" s="27"/>
      <c r="F152" s="44">
        <f t="shared" si="13"/>
        <v>0</v>
      </c>
      <c r="G152" s="29">
        <f t="shared" si="14"/>
        <v>0</v>
      </c>
      <c r="H152" s="29">
        <f t="shared" si="15"/>
        <v>0</v>
      </c>
      <c r="I152" s="29">
        <f t="shared" si="16"/>
        <v>0</v>
      </c>
      <c r="J152" s="29">
        <f t="shared" si="17"/>
        <v>0</v>
      </c>
      <c r="K152" s="41"/>
      <c r="L152" s="41"/>
      <c r="M152" s="41"/>
      <c r="N152" s="41"/>
      <c r="Q152" s="14"/>
    </row>
    <row r="153" spans="1:17" x14ac:dyDescent="0.2">
      <c r="A153" s="1">
        <f>IF($A$18=1,12,IF($A$18=3,""))</f>
        <v>12</v>
      </c>
      <c r="B153" s="1">
        <v>133</v>
      </c>
      <c r="C153" s="13">
        <f t="shared" si="12"/>
        <v>48518</v>
      </c>
      <c r="D153" s="46" t="str">
        <f>IF(COUNTIFS('PAYG INDICATIVE OPTIONS'!$U$4:$X$9,'Loan Repayment Input Sheet'!B153)&gt;0,0,"")</f>
        <v/>
      </c>
      <c r="E153" s="27"/>
      <c r="F153" s="10">
        <f t="shared" si="13"/>
        <v>0</v>
      </c>
      <c r="G153" s="29">
        <f t="shared" si="14"/>
        <v>0</v>
      </c>
      <c r="H153" s="29">
        <f t="shared" si="15"/>
        <v>0</v>
      </c>
      <c r="I153" s="29">
        <f t="shared" si="16"/>
        <v>0</v>
      </c>
      <c r="J153" s="29">
        <f t="shared" si="17"/>
        <v>0</v>
      </c>
      <c r="K153" s="41"/>
      <c r="L153" s="41"/>
      <c r="M153" s="41"/>
      <c r="N153" s="41"/>
      <c r="Q153" s="14"/>
    </row>
    <row r="154" spans="1:17" x14ac:dyDescent="0.2">
      <c r="B154" s="1">
        <v>134</v>
      </c>
      <c r="C154" s="13">
        <f t="shared" si="12"/>
        <v>48548</v>
      </c>
      <c r="D154" s="46" t="str">
        <f>IF(COUNTIFS('PAYG INDICATIVE OPTIONS'!$U$4:$X$9,'Loan Repayment Input Sheet'!B154)&gt;0,0,"")</f>
        <v/>
      </c>
      <c r="E154" s="27"/>
      <c r="F154" s="10">
        <f t="shared" si="13"/>
        <v>0</v>
      </c>
      <c r="G154" s="29">
        <f t="shared" si="14"/>
        <v>0</v>
      </c>
      <c r="H154" s="29">
        <f t="shared" si="15"/>
        <v>0</v>
      </c>
      <c r="I154" s="29">
        <f t="shared" si="16"/>
        <v>0</v>
      </c>
      <c r="J154" s="29">
        <f t="shared" si="17"/>
        <v>0</v>
      </c>
      <c r="K154" s="41"/>
      <c r="L154" s="41"/>
      <c r="M154" s="41"/>
      <c r="N154" s="41"/>
      <c r="Q154" s="14"/>
    </row>
    <row r="155" spans="1:17" x14ac:dyDescent="0.2">
      <c r="B155" s="1">
        <v>135</v>
      </c>
      <c r="C155" s="13">
        <f t="shared" si="12"/>
        <v>48579</v>
      </c>
      <c r="D155" s="46" t="str">
        <f>IF(COUNTIFS('PAYG INDICATIVE OPTIONS'!$U$4:$X$9,'Loan Repayment Input Sheet'!B155)&gt;0,0,"")</f>
        <v/>
      </c>
      <c r="E155" s="27"/>
      <c r="F155" s="10">
        <f t="shared" si="13"/>
        <v>0</v>
      </c>
      <c r="G155" s="29">
        <f t="shared" si="14"/>
        <v>0</v>
      </c>
      <c r="H155" s="29">
        <f t="shared" si="15"/>
        <v>0</v>
      </c>
      <c r="I155" s="29">
        <f t="shared" si="16"/>
        <v>0</v>
      </c>
      <c r="J155" s="29">
        <f t="shared" si="17"/>
        <v>0</v>
      </c>
      <c r="K155" s="41"/>
      <c r="L155" s="41"/>
      <c r="M155" s="41"/>
      <c r="N155" s="41"/>
      <c r="Q155" s="14"/>
    </row>
    <row r="156" spans="1:17" x14ac:dyDescent="0.2">
      <c r="B156" s="1">
        <v>136</v>
      </c>
      <c r="C156" s="13">
        <f t="shared" si="12"/>
        <v>48610</v>
      </c>
      <c r="D156" s="46" t="str">
        <f>IF(COUNTIFS('PAYG INDICATIVE OPTIONS'!$U$4:$X$9,'Loan Repayment Input Sheet'!B156)&gt;0,0,"")</f>
        <v/>
      </c>
      <c r="E156" s="27"/>
      <c r="F156" s="10">
        <f t="shared" si="13"/>
        <v>0</v>
      </c>
      <c r="G156" s="29">
        <f t="shared" si="14"/>
        <v>0</v>
      </c>
      <c r="H156" s="29">
        <f t="shared" si="15"/>
        <v>0</v>
      </c>
      <c r="I156" s="29">
        <f t="shared" si="16"/>
        <v>0</v>
      </c>
      <c r="J156" s="29">
        <f t="shared" si="17"/>
        <v>0</v>
      </c>
      <c r="K156" s="41"/>
      <c r="L156" s="41"/>
      <c r="M156" s="41"/>
      <c r="N156" s="41"/>
      <c r="Q156" s="14"/>
    </row>
    <row r="157" spans="1:17" x14ac:dyDescent="0.2">
      <c r="B157" s="1">
        <v>137</v>
      </c>
      <c r="C157" s="13">
        <f t="shared" si="12"/>
        <v>48638</v>
      </c>
      <c r="D157" s="46" t="str">
        <f>IF(COUNTIFS('PAYG INDICATIVE OPTIONS'!$U$4:$X$9,'Loan Repayment Input Sheet'!B157)&gt;0,0,"")</f>
        <v/>
      </c>
      <c r="E157" s="27"/>
      <c r="F157" s="10">
        <f t="shared" si="13"/>
        <v>0</v>
      </c>
      <c r="G157" s="29">
        <f t="shared" si="14"/>
        <v>0</v>
      </c>
      <c r="H157" s="29">
        <f t="shared" si="15"/>
        <v>0</v>
      </c>
      <c r="I157" s="29">
        <f t="shared" si="16"/>
        <v>0</v>
      </c>
      <c r="J157" s="29">
        <f t="shared" si="17"/>
        <v>0</v>
      </c>
      <c r="K157" s="41"/>
      <c r="L157" s="41"/>
      <c r="M157" s="41"/>
      <c r="N157" s="41"/>
      <c r="Q157" s="14"/>
    </row>
    <row r="158" spans="1:17" x14ac:dyDescent="0.2">
      <c r="B158" s="1">
        <v>138</v>
      </c>
      <c r="C158" s="13">
        <f t="shared" si="12"/>
        <v>48669</v>
      </c>
      <c r="D158" s="46" t="str">
        <f>IF(COUNTIFS('PAYG INDICATIVE OPTIONS'!$U$4:$X$9,'Loan Repayment Input Sheet'!B158)&gt;0,0,"")</f>
        <v/>
      </c>
      <c r="E158" s="27"/>
      <c r="F158" s="10">
        <f t="shared" si="13"/>
        <v>0</v>
      </c>
      <c r="G158" s="29">
        <f t="shared" si="14"/>
        <v>0</v>
      </c>
      <c r="H158" s="29">
        <f t="shared" si="15"/>
        <v>0</v>
      </c>
      <c r="I158" s="29">
        <f t="shared" si="16"/>
        <v>0</v>
      </c>
      <c r="J158" s="29">
        <f t="shared" si="17"/>
        <v>0</v>
      </c>
      <c r="K158" s="41"/>
      <c r="L158" s="41"/>
      <c r="M158" s="41"/>
      <c r="N158" s="41"/>
      <c r="Q158" s="14"/>
    </row>
    <row r="159" spans="1:17" x14ac:dyDescent="0.2">
      <c r="B159" s="1">
        <v>139</v>
      </c>
      <c r="C159" s="13">
        <f t="shared" si="12"/>
        <v>48699</v>
      </c>
      <c r="D159" s="46" t="str">
        <f>IF(COUNTIFS('PAYG INDICATIVE OPTIONS'!$U$4:$X$9,'Loan Repayment Input Sheet'!B159)&gt;0,0,"")</f>
        <v/>
      </c>
      <c r="E159" s="27"/>
      <c r="F159" s="10">
        <f t="shared" si="13"/>
        <v>0</v>
      </c>
      <c r="G159" s="29">
        <f t="shared" si="14"/>
        <v>0</v>
      </c>
      <c r="H159" s="29">
        <f t="shared" si="15"/>
        <v>0</v>
      </c>
      <c r="I159" s="29">
        <f t="shared" si="16"/>
        <v>0</v>
      </c>
      <c r="J159" s="29">
        <f t="shared" si="17"/>
        <v>0</v>
      </c>
      <c r="K159" s="41"/>
      <c r="L159" s="41"/>
      <c r="M159" s="41"/>
      <c r="N159" s="41"/>
      <c r="Q159" s="14"/>
    </row>
    <row r="160" spans="1:17" x14ac:dyDescent="0.2">
      <c r="B160" s="1">
        <v>140</v>
      </c>
      <c r="C160" s="13">
        <f t="shared" si="12"/>
        <v>48730</v>
      </c>
      <c r="D160" s="46" t="str">
        <f>IF(COUNTIFS('PAYG INDICATIVE OPTIONS'!$U$4:$X$9,'Loan Repayment Input Sheet'!B160)&gt;0,0,"")</f>
        <v/>
      </c>
      <c r="E160" s="27"/>
      <c r="F160" s="10">
        <f t="shared" si="13"/>
        <v>0</v>
      </c>
      <c r="G160" s="29">
        <f t="shared" si="14"/>
        <v>0</v>
      </c>
      <c r="H160" s="29">
        <f t="shared" si="15"/>
        <v>0</v>
      </c>
      <c r="I160" s="29">
        <f t="shared" si="16"/>
        <v>0</v>
      </c>
      <c r="J160" s="29">
        <f t="shared" si="17"/>
        <v>0</v>
      </c>
      <c r="K160" s="41"/>
      <c r="L160" s="41"/>
      <c r="M160" s="41"/>
      <c r="N160" s="41"/>
      <c r="Q160" s="14"/>
    </row>
    <row r="161" spans="1:17" x14ac:dyDescent="0.2">
      <c r="B161" s="1">
        <v>141</v>
      </c>
      <c r="C161" s="13">
        <f t="shared" si="12"/>
        <v>48760</v>
      </c>
      <c r="D161" s="46" t="str">
        <f>IF(COUNTIFS('PAYG INDICATIVE OPTIONS'!$U$4:$X$9,'Loan Repayment Input Sheet'!B161)&gt;0,0,"")</f>
        <v/>
      </c>
      <c r="E161" s="27"/>
      <c r="F161" s="10">
        <f t="shared" si="13"/>
        <v>0</v>
      </c>
      <c r="G161" s="29">
        <f t="shared" si="14"/>
        <v>0</v>
      </c>
      <c r="H161" s="29">
        <f t="shared" si="15"/>
        <v>0</v>
      </c>
      <c r="I161" s="29">
        <f t="shared" si="16"/>
        <v>0</v>
      </c>
      <c r="J161" s="29">
        <f t="shared" si="17"/>
        <v>0</v>
      </c>
      <c r="K161" s="41"/>
      <c r="L161" s="41"/>
      <c r="M161" s="41"/>
      <c r="N161" s="41"/>
      <c r="Q161" s="14"/>
    </row>
    <row r="162" spans="1:17" x14ac:dyDescent="0.2">
      <c r="B162" s="1">
        <v>142</v>
      </c>
      <c r="C162" s="13">
        <f t="shared" si="12"/>
        <v>48791</v>
      </c>
      <c r="D162" s="46" t="str">
        <f>IF(COUNTIFS('PAYG INDICATIVE OPTIONS'!$U$4:$X$9,'Loan Repayment Input Sheet'!B162)&gt;0,0,"")</f>
        <v/>
      </c>
      <c r="E162" s="27"/>
      <c r="F162" s="10">
        <f t="shared" si="13"/>
        <v>0</v>
      </c>
      <c r="G162" s="29">
        <f t="shared" si="14"/>
        <v>0</v>
      </c>
      <c r="H162" s="29">
        <f t="shared" si="15"/>
        <v>0</v>
      </c>
      <c r="I162" s="29">
        <f t="shared" si="16"/>
        <v>0</v>
      </c>
      <c r="J162" s="29">
        <f t="shared" si="17"/>
        <v>0</v>
      </c>
      <c r="K162" s="41"/>
      <c r="L162" s="41"/>
      <c r="M162" s="41"/>
      <c r="N162" s="41"/>
      <c r="Q162" s="14"/>
    </row>
    <row r="163" spans="1:17" x14ac:dyDescent="0.2">
      <c r="B163" s="1">
        <v>143</v>
      </c>
      <c r="C163" s="13">
        <f t="shared" si="12"/>
        <v>48822</v>
      </c>
      <c r="D163" s="46" t="str">
        <f>IF(COUNTIFS('PAYG INDICATIVE OPTIONS'!$U$4:$X$9,'Loan Repayment Input Sheet'!B163)&gt;0,0,"")</f>
        <v/>
      </c>
      <c r="E163" s="27"/>
      <c r="F163" s="10">
        <f t="shared" si="13"/>
        <v>0</v>
      </c>
      <c r="G163" s="29">
        <f t="shared" si="14"/>
        <v>0</v>
      </c>
      <c r="H163" s="29">
        <f t="shared" si="15"/>
        <v>0</v>
      </c>
      <c r="I163" s="29">
        <f t="shared" si="16"/>
        <v>0</v>
      </c>
      <c r="J163" s="29">
        <f t="shared" si="17"/>
        <v>0</v>
      </c>
      <c r="K163" s="41"/>
      <c r="L163" s="41"/>
      <c r="M163" s="41"/>
      <c r="N163" s="41"/>
      <c r="Q163" s="14"/>
    </row>
    <row r="164" spans="1:17" x14ac:dyDescent="0.2">
      <c r="B164" s="1">
        <v>144</v>
      </c>
      <c r="C164" s="13">
        <f t="shared" si="12"/>
        <v>48852</v>
      </c>
      <c r="D164" s="46" t="str">
        <f>IF(COUNTIFS('PAYG INDICATIVE OPTIONS'!$U$4:$X$9,'Loan Repayment Input Sheet'!B164)&gt;0,0,"")</f>
        <v/>
      </c>
      <c r="E164" s="27"/>
      <c r="F164" s="10">
        <f t="shared" si="13"/>
        <v>0</v>
      </c>
      <c r="G164" s="29">
        <f t="shared" si="14"/>
        <v>0</v>
      </c>
      <c r="H164" s="29">
        <f t="shared" si="15"/>
        <v>0</v>
      </c>
      <c r="I164" s="29">
        <f t="shared" si="16"/>
        <v>0</v>
      </c>
      <c r="J164" s="29">
        <f t="shared" si="17"/>
        <v>0</v>
      </c>
      <c r="K164" s="41"/>
      <c r="L164" s="41"/>
      <c r="M164" s="41"/>
      <c r="N164" s="41"/>
      <c r="Q164" s="14"/>
    </row>
    <row r="165" spans="1:17" x14ac:dyDescent="0.2">
      <c r="A165" s="1">
        <f>IF($A$18=1,13,IF($A$18=3,""))</f>
        <v>13</v>
      </c>
      <c r="B165" s="1">
        <v>145</v>
      </c>
      <c r="C165" s="13">
        <f t="shared" si="12"/>
        <v>48883</v>
      </c>
      <c r="D165" s="46" t="str">
        <f>IF(COUNTIFS('PAYG INDICATIVE OPTIONS'!$U$4:$X$9,'Loan Repayment Input Sheet'!B165)&gt;0,0,"")</f>
        <v/>
      </c>
      <c r="E165" s="27"/>
      <c r="F165" s="10">
        <f t="shared" si="13"/>
        <v>0</v>
      </c>
      <c r="G165" s="29">
        <f t="shared" si="14"/>
        <v>0</v>
      </c>
      <c r="H165" s="29">
        <f t="shared" si="15"/>
        <v>0</v>
      </c>
      <c r="I165" s="29">
        <f t="shared" si="16"/>
        <v>0</v>
      </c>
      <c r="J165" s="29">
        <f t="shared" si="17"/>
        <v>0</v>
      </c>
      <c r="K165" s="41"/>
      <c r="L165" s="41"/>
      <c r="M165" s="41"/>
      <c r="N165" s="41"/>
      <c r="Q165" s="14"/>
    </row>
    <row r="166" spans="1:17" x14ac:dyDescent="0.2">
      <c r="B166" s="1">
        <v>146</v>
      </c>
      <c r="C166" s="13">
        <f t="shared" si="12"/>
        <v>48913</v>
      </c>
      <c r="D166" s="46" t="str">
        <f>IF(COUNTIFS('PAYG INDICATIVE OPTIONS'!$U$4:$X$9,'Loan Repayment Input Sheet'!B166)&gt;0,0,"")</f>
        <v/>
      </c>
      <c r="E166" s="27"/>
      <c r="F166" s="10">
        <f t="shared" si="13"/>
        <v>0</v>
      </c>
      <c r="G166" s="29">
        <f t="shared" si="14"/>
        <v>0</v>
      </c>
      <c r="H166" s="29">
        <f t="shared" si="15"/>
        <v>0</v>
      </c>
      <c r="I166" s="29">
        <f t="shared" si="16"/>
        <v>0</v>
      </c>
      <c r="J166" s="29">
        <f t="shared" si="17"/>
        <v>0</v>
      </c>
      <c r="K166" s="41"/>
      <c r="L166" s="41"/>
      <c r="M166" s="41"/>
      <c r="N166" s="41"/>
      <c r="Q166" s="14"/>
    </row>
    <row r="167" spans="1:17" x14ac:dyDescent="0.2">
      <c r="B167" s="1">
        <v>147</v>
      </c>
      <c r="C167" s="13">
        <f t="shared" si="12"/>
        <v>48944</v>
      </c>
      <c r="D167" s="46" t="str">
        <f>IF(COUNTIFS('PAYG INDICATIVE OPTIONS'!$U$4:$X$9,'Loan Repayment Input Sheet'!B167)&gt;0,0,"")</f>
        <v/>
      </c>
      <c r="E167" s="27"/>
      <c r="F167" s="10">
        <f t="shared" si="13"/>
        <v>0</v>
      </c>
      <c r="G167" s="29">
        <f t="shared" si="14"/>
        <v>0</v>
      </c>
      <c r="H167" s="29">
        <f t="shared" si="15"/>
        <v>0</v>
      </c>
      <c r="I167" s="29">
        <f t="shared" si="16"/>
        <v>0</v>
      </c>
      <c r="J167" s="29">
        <f t="shared" si="17"/>
        <v>0</v>
      </c>
      <c r="K167" s="41"/>
      <c r="L167" s="41"/>
      <c r="M167" s="41"/>
      <c r="N167" s="41"/>
      <c r="Q167" s="14"/>
    </row>
    <row r="168" spans="1:17" x14ac:dyDescent="0.2">
      <c r="B168" s="1">
        <v>148</v>
      </c>
      <c r="C168" s="13">
        <f t="shared" si="12"/>
        <v>48975</v>
      </c>
      <c r="D168" s="46" t="str">
        <f>IF(COUNTIFS('PAYG INDICATIVE OPTIONS'!$U$4:$X$9,'Loan Repayment Input Sheet'!B168)&gt;0,0,"")</f>
        <v/>
      </c>
      <c r="E168" s="27"/>
      <c r="F168" s="10">
        <f t="shared" si="13"/>
        <v>0</v>
      </c>
      <c r="G168" s="29">
        <f t="shared" si="14"/>
        <v>0</v>
      </c>
      <c r="H168" s="29">
        <f t="shared" si="15"/>
        <v>0</v>
      </c>
      <c r="I168" s="29">
        <f t="shared" si="16"/>
        <v>0</v>
      </c>
      <c r="J168" s="29">
        <f t="shared" si="17"/>
        <v>0</v>
      </c>
      <c r="K168" s="41"/>
      <c r="L168" s="41"/>
      <c r="M168" s="41"/>
      <c r="N168" s="41"/>
      <c r="Q168" s="14"/>
    </row>
    <row r="169" spans="1:17" x14ac:dyDescent="0.2">
      <c r="B169" s="1">
        <v>149</v>
      </c>
      <c r="C169" s="13">
        <f t="shared" si="12"/>
        <v>49003</v>
      </c>
      <c r="D169" s="46" t="str">
        <f>IF(COUNTIFS('PAYG INDICATIVE OPTIONS'!$U$4:$X$9,'Loan Repayment Input Sheet'!B169)&gt;0,0,"")</f>
        <v/>
      </c>
      <c r="E169" s="27"/>
      <c r="F169" s="10">
        <f t="shared" si="13"/>
        <v>0</v>
      </c>
      <c r="G169" s="29">
        <f t="shared" si="14"/>
        <v>0</v>
      </c>
      <c r="H169" s="29">
        <f t="shared" si="15"/>
        <v>0</v>
      </c>
      <c r="I169" s="29">
        <f t="shared" si="16"/>
        <v>0</v>
      </c>
      <c r="J169" s="29">
        <f t="shared" si="17"/>
        <v>0</v>
      </c>
      <c r="K169" s="41"/>
      <c r="L169" s="41"/>
      <c r="M169" s="41"/>
      <c r="N169" s="41"/>
      <c r="Q169" s="14"/>
    </row>
    <row r="170" spans="1:17" x14ac:dyDescent="0.2">
      <c r="B170" s="1">
        <v>150</v>
      </c>
      <c r="C170" s="13">
        <f t="shared" si="12"/>
        <v>49034</v>
      </c>
      <c r="D170" s="46" t="str">
        <f>IF(COUNTIFS('PAYG INDICATIVE OPTIONS'!$U$4:$X$9,'Loan Repayment Input Sheet'!B170)&gt;0,0,"")</f>
        <v/>
      </c>
      <c r="E170" s="27"/>
      <c r="F170" s="10">
        <f t="shared" si="13"/>
        <v>0</v>
      </c>
      <c r="G170" s="29">
        <f t="shared" si="14"/>
        <v>0</v>
      </c>
      <c r="H170" s="29">
        <f t="shared" si="15"/>
        <v>0</v>
      </c>
      <c r="I170" s="29">
        <f t="shared" si="16"/>
        <v>0</v>
      </c>
      <c r="J170" s="29">
        <f t="shared" si="17"/>
        <v>0</v>
      </c>
      <c r="K170" s="41"/>
      <c r="L170" s="41"/>
      <c r="M170" s="41"/>
      <c r="N170" s="41"/>
      <c r="Q170" s="14"/>
    </row>
    <row r="171" spans="1:17" x14ac:dyDescent="0.2">
      <c r="B171" s="1">
        <v>151</v>
      </c>
      <c r="C171" s="13">
        <f t="shared" si="12"/>
        <v>49064</v>
      </c>
      <c r="D171" s="46" t="str">
        <f>IF(COUNTIFS('PAYG INDICATIVE OPTIONS'!$U$4:$X$9,'Loan Repayment Input Sheet'!B171)&gt;0,0,"")</f>
        <v/>
      </c>
      <c r="E171" s="27"/>
      <c r="F171" s="10">
        <f t="shared" si="13"/>
        <v>0</v>
      </c>
      <c r="G171" s="29">
        <f t="shared" si="14"/>
        <v>0</v>
      </c>
      <c r="H171" s="29">
        <f t="shared" si="15"/>
        <v>0</v>
      </c>
      <c r="I171" s="29">
        <f t="shared" si="16"/>
        <v>0</v>
      </c>
      <c r="J171" s="29">
        <f t="shared" si="17"/>
        <v>0</v>
      </c>
      <c r="K171" s="41"/>
      <c r="L171" s="41"/>
      <c r="M171" s="41"/>
      <c r="N171" s="41"/>
      <c r="Q171" s="14"/>
    </row>
    <row r="172" spans="1:17" x14ac:dyDescent="0.2">
      <c r="B172" s="1">
        <v>152</v>
      </c>
      <c r="C172" s="13">
        <f t="shared" si="12"/>
        <v>49095</v>
      </c>
      <c r="D172" s="46" t="str">
        <f>IF(COUNTIFS('PAYG INDICATIVE OPTIONS'!$U$4:$X$9,'Loan Repayment Input Sheet'!B172)&gt;0,0,"")</f>
        <v/>
      </c>
      <c r="E172" s="27"/>
      <c r="F172" s="10">
        <f t="shared" si="13"/>
        <v>0</v>
      </c>
      <c r="G172" s="29">
        <f t="shared" si="14"/>
        <v>0</v>
      </c>
      <c r="H172" s="29">
        <f t="shared" si="15"/>
        <v>0</v>
      </c>
      <c r="I172" s="29">
        <f t="shared" si="16"/>
        <v>0</v>
      </c>
      <c r="J172" s="29">
        <f t="shared" si="17"/>
        <v>0</v>
      </c>
      <c r="K172" s="41"/>
      <c r="L172" s="41"/>
      <c r="M172" s="41"/>
      <c r="N172" s="41"/>
      <c r="Q172" s="14"/>
    </row>
    <row r="173" spans="1:17" x14ac:dyDescent="0.2">
      <c r="B173" s="1">
        <v>153</v>
      </c>
      <c r="C173" s="13">
        <f t="shared" si="12"/>
        <v>49125</v>
      </c>
      <c r="D173" s="46" t="str">
        <f>IF(COUNTIFS('PAYG INDICATIVE OPTIONS'!$U$4:$X$9,'Loan Repayment Input Sheet'!B173)&gt;0,0,"")</f>
        <v/>
      </c>
      <c r="E173" s="27"/>
      <c r="F173" s="10">
        <f t="shared" si="13"/>
        <v>0</v>
      </c>
      <c r="G173" s="29">
        <f t="shared" si="14"/>
        <v>0</v>
      </c>
      <c r="H173" s="29">
        <f t="shared" si="15"/>
        <v>0</v>
      </c>
      <c r="I173" s="29">
        <f t="shared" si="16"/>
        <v>0</v>
      </c>
      <c r="J173" s="29">
        <f t="shared" si="17"/>
        <v>0</v>
      </c>
      <c r="K173" s="41"/>
      <c r="L173" s="41"/>
      <c r="M173" s="41"/>
      <c r="N173" s="41"/>
      <c r="Q173" s="14"/>
    </row>
    <row r="174" spans="1:17" x14ac:dyDescent="0.2">
      <c r="B174" s="1">
        <v>154</v>
      </c>
      <c r="C174" s="13">
        <f t="shared" si="12"/>
        <v>49156</v>
      </c>
      <c r="D174" s="46" t="str">
        <f>IF(COUNTIFS('PAYG INDICATIVE OPTIONS'!$U$4:$X$9,'Loan Repayment Input Sheet'!B174)&gt;0,0,"")</f>
        <v/>
      </c>
      <c r="E174" s="27"/>
      <c r="F174" s="10">
        <f t="shared" si="13"/>
        <v>0</v>
      </c>
      <c r="G174" s="29">
        <f t="shared" si="14"/>
        <v>0</v>
      </c>
      <c r="H174" s="29">
        <f t="shared" si="15"/>
        <v>0</v>
      </c>
      <c r="I174" s="29">
        <f t="shared" si="16"/>
        <v>0</v>
      </c>
      <c r="J174" s="29">
        <f t="shared" si="17"/>
        <v>0</v>
      </c>
      <c r="K174" s="41"/>
      <c r="L174" s="41"/>
      <c r="M174" s="41"/>
      <c r="N174" s="41"/>
      <c r="Q174" s="14"/>
    </row>
    <row r="175" spans="1:17" x14ac:dyDescent="0.2">
      <c r="B175" s="1">
        <v>155</v>
      </c>
      <c r="C175" s="13">
        <f t="shared" si="12"/>
        <v>49187</v>
      </c>
      <c r="D175" s="46" t="str">
        <f>IF(COUNTIFS('PAYG INDICATIVE OPTIONS'!$U$4:$X$9,'Loan Repayment Input Sheet'!B175)&gt;0,0,"")</f>
        <v/>
      </c>
      <c r="E175" s="27"/>
      <c r="F175" s="10">
        <f t="shared" si="13"/>
        <v>0</v>
      </c>
      <c r="G175" s="29">
        <f t="shared" si="14"/>
        <v>0</v>
      </c>
      <c r="H175" s="29">
        <f t="shared" si="15"/>
        <v>0</v>
      </c>
      <c r="I175" s="29">
        <f t="shared" si="16"/>
        <v>0</v>
      </c>
      <c r="J175" s="29">
        <f t="shared" si="17"/>
        <v>0</v>
      </c>
      <c r="K175" s="41"/>
      <c r="L175" s="41"/>
      <c r="M175" s="41"/>
      <c r="N175" s="41"/>
      <c r="Q175" s="14"/>
    </row>
    <row r="176" spans="1:17" x14ac:dyDescent="0.2">
      <c r="B176" s="1">
        <v>156</v>
      </c>
      <c r="C176" s="13">
        <f t="shared" si="12"/>
        <v>49217</v>
      </c>
      <c r="D176" s="46" t="str">
        <f>IF(COUNTIFS('PAYG INDICATIVE OPTIONS'!$U$4:$X$9,'Loan Repayment Input Sheet'!B176)&gt;0,0,"")</f>
        <v/>
      </c>
      <c r="E176" s="27"/>
      <c r="F176" s="10">
        <f t="shared" si="13"/>
        <v>0</v>
      </c>
      <c r="G176" s="29">
        <f t="shared" si="14"/>
        <v>0</v>
      </c>
      <c r="H176" s="29">
        <f t="shared" si="15"/>
        <v>0</v>
      </c>
      <c r="I176" s="29">
        <f t="shared" si="16"/>
        <v>0</v>
      </c>
      <c r="J176" s="29">
        <f t="shared" si="17"/>
        <v>0</v>
      </c>
      <c r="K176" s="41"/>
      <c r="L176" s="41"/>
      <c r="M176" s="41"/>
      <c r="N176" s="41"/>
      <c r="Q176" s="14"/>
    </row>
    <row r="177" spans="1:17" x14ac:dyDescent="0.2">
      <c r="A177" s="1">
        <f>IF($A$18=1,14,IF($A$18=3,""))</f>
        <v>14</v>
      </c>
      <c r="B177" s="1">
        <v>157</v>
      </c>
      <c r="C177" s="13">
        <f t="shared" si="12"/>
        <v>49248</v>
      </c>
      <c r="D177" s="46" t="str">
        <f>IF(COUNTIFS('PAYG INDICATIVE OPTIONS'!$U$4:$X$9,'Loan Repayment Input Sheet'!B177)&gt;0,0,"")</f>
        <v/>
      </c>
      <c r="E177" s="27"/>
      <c r="F177" s="10">
        <f t="shared" si="13"/>
        <v>0</v>
      </c>
      <c r="G177" s="29">
        <f t="shared" si="14"/>
        <v>0</v>
      </c>
      <c r="H177" s="29">
        <f t="shared" si="15"/>
        <v>0</v>
      </c>
      <c r="I177" s="29">
        <f t="shared" si="16"/>
        <v>0</v>
      </c>
      <c r="J177" s="29">
        <f t="shared" si="17"/>
        <v>0</v>
      </c>
      <c r="K177" s="41"/>
      <c r="L177" s="41"/>
      <c r="M177" s="41"/>
      <c r="N177" s="41"/>
      <c r="Q177" s="14"/>
    </row>
    <row r="178" spans="1:17" x14ac:dyDescent="0.2">
      <c r="B178" s="1">
        <v>158</v>
      </c>
      <c r="C178" s="13">
        <f t="shared" si="12"/>
        <v>49278</v>
      </c>
      <c r="D178" s="46" t="str">
        <f>IF(COUNTIFS('PAYG INDICATIVE OPTIONS'!$U$4:$X$9,'Loan Repayment Input Sheet'!B178)&gt;0,0,"")</f>
        <v/>
      </c>
      <c r="E178" s="27"/>
      <c r="F178" s="10">
        <f t="shared" si="13"/>
        <v>0</v>
      </c>
      <c r="G178" s="29">
        <f t="shared" si="14"/>
        <v>0</v>
      </c>
      <c r="H178" s="29">
        <f t="shared" si="15"/>
        <v>0</v>
      </c>
      <c r="I178" s="29">
        <f t="shared" si="16"/>
        <v>0</v>
      </c>
      <c r="J178" s="29">
        <f t="shared" si="17"/>
        <v>0</v>
      </c>
      <c r="K178" s="41"/>
      <c r="L178" s="41"/>
      <c r="M178" s="41"/>
      <c r="N178" s="41"/>
      <c r="Q178" s="14"/>
    </row>
    <row r="179" spans="1:17" x14ac:dyDescent="0.2">
      <c r="B179" s="1">
        <v>159</v>
      </c>
      <c r="C179" s="13">
        <f t="shared" si="12"/>
        <v>49309</v>
      </c>
      <c r="D179" s="46" t="str">
        <f>IF(COUNTIFS('PAYG INDICATIVE OPTIONS'!$U$4:$X$9,'Loan Repayment Input Sheet'!B179)&gt;0,0,"")</f>
        <v/>
      </c>
      <c r="E179" s="27"/>
      <c r="F179" s="10">
        <f t="shared" si="13"/>
        <v>0</v>
      </c>
      <c r="G179" s="29">
        <f t="shared" si="14"/>
        <v>0</v>
      </c>
      <c r="H179" s="29">
        <f t="shared" si="15"/>
        <v>0</v>
      </c>
      <c r="I179" s="29">
        <f t="shared" si="16"/>
        <v>0</v>
      </c>
      <c r="J179" s="29">
        <f t="shared" si="17"/>
        <v>0</v>
      </c>
      <c r="K179" s="41"/>
      <c r="L179" s="41"/>
      <c r="M179" s="41"/>
      <c r="N179" s="41"/>
      <c r="Q179" s="14"/>
    </row>
    <row r="180" spans="1:17" x14ac:dyDescent="0.2">
      <c r="B180" s="1">
        <v>160</v>
      </c>
      <c r="C180" s="13">
        <f t="shared" si="12"/>
        <v>49340</v>
      </c>
      <c r="D180" s="46" t="str">
        <f>IF(COUNTIFS('PAYG INDICATIVE OPTIONS'!$U$4:$X$9,'Loan Repayment Input Sheet'!B180)&gt;0,0,"")</f>
        <v/>
      </c>
      <c r="E180" s="27"/>
      <c r="F180" s="10">
        <f t="shared" si="13"/>
        <v>0</v>
      </c>
      <c r="G180" s="29">
        <f t="shared" si="14"/>
        <v>0</v>
      </c>
      <c r="H180" s="29">
        <f t="shared" si="15"/>
        <v>0</v>
      </c>
      <c r="I180" s="29">
        <f t="shared" si="16"/>
        <v>0</v>
      </c>
      <c r="J180" s="29">
        <f t="shared" si="17"/>
        <v>0</v>
      </c>
      <c r="K180" s="41"/>
      <c r="L180" s="41"/>
      <c r="M180" s="41"/>
      <c r="N180" s="41"/>
      <c r="Q180" s="14"/>
    </row>
    <row r="181" spans="1:17" x14ac:dyDescent="0.2">
      <c r="B181" s="1">
        <v>161</v>
      </c>
      <c r="C181" s="13">
        <f t="shared" si="12"/>
        <v>49368</v>
      </c>
      <c r="D181" s="46" t="str">
        <f>IF(COUNTIFS('PAYG INDICATIVE OPTIONS'!$U$4:$X$9,'Loan Repayment Input Sheet'!B181)&gt;0,0,"")</f>
        <v/>
      </c>
      <c r="E181" s="27"/>
      <c r="F181" s="10">
        <f t="shared" si="13"/>
        <v>0</v>
      </c>
      <c r="G181" s="29">
        <f t="shared" si="14"/>
        <v>0</v>
      </c>
      <c r="H181" s="29">
        <f t="shared" si="15"/>
        <v>0</v>
      </c>
      <c r="I181" s="29">
        <f t="shared" si="16"/>
        <v>0</v>
      </c>
      <c r="J181" s="29">
        <f t="shared" si="17"/>
        <v>0</v>
      </c>
      <c r="K181" s="41"/>
      <c r="L181" s="41"/>
      <c r="M181" s="41"/>
      <c r="N181" s="41"/>
      <c r="Q181" s="14"/>
    </row>
    <row r="182" spans="1:17" x14ac:dyDescent="0.2">
      <c r="B182" s="1">
        <v>162</v>
      </c>
      <c r="C182" s="13">
        <f t="shared" si="12"/>
        <v>49399</v>
      </c>
      <c r="D182" s="46" t="str">
        <f>IF(COUNTIFS('PAYG INDICATIVE OPTIONS'!$U$4:$X$9,'Loan Repayment Input Sheet'!B182)&gt;0,0,"")</f>
        <v/>
      </c>
      <c r="E182" s="27"/>
      <c r="F182" s="10">
        <f t="shared" si="13"/>
        <v>0</v>
      </c>
      <c r="G182" s="29">
        <f t="shared" si="14"/>
        <v>0</v>
      </c>
      <c r="H182" s="29">
        <f t="shared" si="15"/>
        <v>0</v>
      </c>
      <c r="I182" s="29">
        <f t="shared" si="16"/>
        <v>0</v>
      </c>
      <c r="J182" s="29">
        <f t="shared" si="17"/>
        <v>0</v>
      </c>
      <c r="K182" s="41"/>
      <c r="L182" s="41"/>
      <c r="M182" s="41"/>
      <c r="N182" s="41"/>
      <c r="Q182" s="14"/>
    </row>
    <row r="183" spans="1:17" x14ac:dyDescent="0.2">
      <c r="B183" s="1">
        <v>163</v>
      </c>
      <c r="C183" s="13">
        <f t="shared" si="12"/>
        <v>49429</v>
      </c>
      <c r="D183" s="46" t="str">
        <f>IF(COUNTIFS('PAYG INDICATIVE OPTIONS'!$U$4:$X$9,'Loan Repayment Input Sheet'!B183)&gt;0,0,"")</f>
        <v/>
      </c>
      <c r="E183" s="27"/>
      <c r="F183" s="10">
        <f t="shared" si="13"/>
        <v>0</v>
      </c>
      <c r="G183" s="29">
        <f t="shared" si="14"/>
        <v>0</v>
      </c>
      <c r="H183" s="29">
        <f t="shared" si="15"/>
        <v>0</v>
      </c>
      <c r="I183" s="29">
        <f t="shared" si="16"/>
        <v>0</v>
      </c>
      <c r="J183" s="29">
        <f t="shared" si="17"/>
        <v>0</v>
      </c>
      <c r="K183" s="41"/>
      <c r="L183" s="41"/>
      <c r="M183" s="41"/>
      <c r="N183" s="41"/>
      <c r="Q183" s="14"/>
    </row>
    <row r="184" spans="1:17" x14ac:dyDescent="0.2">
      <c r="B184" s="1">
        <v>164</v>
      </c>
      <c r="C184" s="13">
        <f t="shared" si="12"/>
        <v>49460</v>
      </c>
      <c r="D184" s="46" t="str">
        <f>IF(COUNTIFS('PAYG INDICATIVE OPTIONS'!$U$4:$X$9,'Loan Repayment Input Sheet'!B184)&gt;0,0,"")</f>
        <v/>
      </c>
      <c r="E184" s="27"/>
      <c r="F184" s="10">
        <f t="shared" si="13"/>
        <v>0</v>
      </c>
      <c r="G184" s="29">
        <f t="shared" si="14"/>
        <v>0</v>
      </c>
      <c r="H184" s="29">
        <f t="shared" si="15"/>
        <v>0</v>
      </c>
      <c r="I184" s="29">
        <f t="shared" si="16"/>
        <v>0</v>
      </c>
      <c r="J184" s="29">
        <f t="shared" si="17"/>
        <v>0</v>
      </c>
      <c r="K184" s="41"/>
      <c r="L184" s="41"/>
      <c r="M184" s="41"/>
      <c r="N184" s="41"/>
      <c r="Q184" s="14"/>
    </row>
    <row r="185" spans="1:17" x14ac:dyDescent="0.2">
      <c r="B185" s="1">
        <v>165</v>
      </c>
      <c r="C185" s="13">
        <f t="shared" si="12"/>
        <v>49490</v>
      </c>
      <c r="D185" s="46" t="str">
        <f>IF(COUNTIFS('PAYG INDICATIVE OPTIONS'!$U$4:$X$9,'Loan Repayment Input Sheet'!B185)&gt;0,0,"")</f>
        <v/>
      </c>
      <c r="E185" s="27"/>
      <c r="F185" s="10">
        <f t="shared" si="13"/>
        <v>0</v>
      </c>
      <c r="G185" s="29">
        <f t="shared" si="14"/>
        <v>0</v>
      </c>
      <c r="H185" s="29">
        <f t="shared" si="15"/>
        <v>0</v>
      </c>
      <c r="I185" s="29">
        <f t="shared" si="16"/>
        <v>0</v>
      </c>
      <c r="J185" s="29">
        <f t="shared" si="17"/>
        <v>0</v>
      </c>
      <c r="K185" s="41"/>
      <c r="L185" s="41"/>
      <c r="M185" s="41"/>
      <c r="N185" s="41"/>
      <c r="Q185" s="14"/>
    </row>
    <row r="186" spans="1:17" x14ac:dyDescent="0.2">
      <c r="B186" s="1">
        <v>166</v>
      </c>
      <c r="C186" s="13">
        <f t="shared" si="12"/>
        <v>49521</v>
      </c>
      <c r="D186" s="46" t="str">
        <f>IF(COUNTIFS('PAYG INDICATIVE OPTIONS'!$U$4:$X$9,'Loan Repayment Input Sheet'!B186)&gt;0,0,"")</f>
        <v/>
      </c>
      <c r="E186" s="27"/>
      <c r="F186" s="10">
        <f t="shared" si="13"/>
        <v>0</v>
      </c>
      <c r="G186" s="29">
        <f t="shared" si="14"/>
        <v>0</v>
      </c>
      <c r="H186" s="29">
        <f t="shared" si="15"/>
        <v>0</v>
      </c>
      <c r="I186" s="29">
        <f t="shared" si="16"/>
        <v>0</v>
      </c>
      <c r="J186" s="29">
        <f t="shared" si="17"/>
        <v>0</v>
      </c>
      <c r="K186" s="41"/>
      <c r="L186" s="41"/>
      <c r="M186" s="41"/>
      <c r="N186" s="41"/>
      <c r="Q186" s="14"/>
    </row>
    <row r="187" spans="1:17" x14ac:dyDescent="0.2">
      <c r="B187" s="1">
        <v>167</v>
      </c>
      <c r="C187" s="13">
        <f t="shared" si="12"/>
        <v>49552</v>
      </c>
      <c r="D187" s="46" t="str">
        <f>IF(COUNTIFS('PAYG INDICATIVE OPTIONS'!$U$4:$X$9,'Loan Repayment Input Sheet'!B187)&gt;0,0,"")</f>
        <v/>
      </c>
      <c r="E187" s="27"/>
      <c r="F187" s="10">
        <f t="shared" si="13"/>
        <v>0</v>
      </c>
      <c r="G187" s="29">
        <f t="shared" si="14"/>
        <v>0</v>
      </c>
      <c r="H187" s="29">
        <f t="shared" si="15"/>
        <v>0</v>
      </c>
      <c r="I187" s="29">
        <f t="shared" si="16"/>
        <v>0</v>
      </c>
      <c r="J187" s="29">
        <f t="shared" si="17"/>
        <v>0</v>
      </c>
      <c r="K187" s="41"/>
      <c r="L187" s="41"/>
      <c r="M187" s="41"/>
      <c r="N187" s="41"/>
      <c r="Q187" s="14"/>
    </row>
    <row r="188" spans="1:17" x14ac:dyDescent="0.2">
      <c r="B188" s="1">
        <v>168</v>
      </c>
      <c r="C188" s="13">
        <f t="shared" si="12"/>
        <v>49582</v>
      </c>
      <c r="D188" s="46" t="str">
        <f>IF(COUNTIFS('PAYG INDICATIVE OPTIONS'!$U$4:$X$9,'Loan Repayment Input Sheet'!B188)&gt;0,0,"")</f>
        <v/>
      </c>
      <c r="E188" s="27"/>
      <c r="F188" s="10">
        <f t="shared" si="13"/>
        <v>0</v>
      </c>
      <c r="G188" s="29">
        <f t="shared" si="14"/>
        <v>0</v>
      </c>
      <c r="H188" s="29">
        <f t="shared" si="15"/>
        <v>0</v>
      </c>
      <c r="I188" s="29">
        <f t="shared" si="16"/>
        <v>0</v>
      </c>
      <c r="J188" s="29">
        <f t="shared" si="17"/>
        <v>0</v>
      </c>
      <c r="K188" s="41"/>
      <c r="L188" s="41"/>
      <c r="M188" s="41"/>
      <c r="N188" s="41"/>
      <c r="Q188" s="14"/>
    </row>
    <row r="189" spans="1:17" x14ac:dyDescent="0.2">
      <c r="A189" s="1">
        <f>IF($A$18=1,15,IF($A$18=3,""))</f>
        <v>15</v>
      </c>
      <c r="B189" s="1">
        <v>169</v>
      </c>
      <c r="C189" s="13">
        <f t="shared" si="12"/>
        <v>49613</v>
      </c>
      <c r="D189" s="46" t="str">
        <f>IF(COUNTIFS('PAYG INDICATIVE OPTIONS'!$U$4:$X$9,'Loan Repayment Input Sheet'!B189)&gt;0,0,"")</f>
        <v/>
      </c>
      <c r="E189" s="27"/>
      <c r="F189" s="10">
        <f t="shared" si="13"/>
        <v>0</v>
      </c>
      <c r="G189" s="29">
        <f t="shared" si="14"/>
        <v>0</v>
      </c>
      <c r="H189" s="29">
        <f t="shared" si="15"/>
        <v>0</v>
      </c>
      <c r="I189" s="29">
        <f t="shared" si="16"/>
        <v>0</v>
      </c>
      <c r="J189" s="29">
        <f t="shared" si="17"/>
        <v>0</v>
      </c>
      <c r="K189" s="41"/>
      <c r="L189" s="41"/>
      <c r="M189" s="41"/>
      <c r="N189" s="41"/>
      <c r="Q189" s="14"/>
    </row>
    <row r="190" spans="1:17" x14ac:dyDescent="0.2">
      <c r="B190" s="1">
        <v>170</v>
      </c>
      <c r="C190" s="13">
        <f t="shared" si="12"/>
        <v>49643</v>
      </c>
      <c r="D190" s="46" t="str">
        <f>IF(COUNTIFS('PAYG INDICATIVE OPTIONS'!$U$4:$X$9,'Loan Repayment Input Sheet'!B190)&gt;0,0,"")</f>
        <v/>
      </c>
      <c r="E190" s="27"/>
      <c r="F190" s="10">
        <f t="shared" si="13"/>
        <v>0</v>
      </c>
      <c r="G190" s="29">
        <f t="shared" si="14"/>
        <v>0</v>
      </c>
      <c r="H190" s="29">
        <f t="shared" si="15"/>
        <v>0</v>
      </c>
      <c r="I190" s="29">
        <f t="shared" si="16"/>
        <v>0</v>
      </c>
      <c r="J190" s="29">
        <f t="shared" si="17"/>
        <v>0</v>
      </c>
      <c r="K190" s="41"/>
      <c r="L190" s="41"/>
      <c r="M190" s="41"/>
      <c r="N190" s="41"/>
      <c r="Q190" s="14"/>
    </row>
    <row r="191" spans="1:17" x14ac:dyDescent="0.2">
      <c r="B191" s="1">
        <v>171</v>
      </c>
      <c r="C191" s="13">
        <f t="shared" si="12"/>
        <v>49674</v>
      </c>
      <c r="D191" s="46" t="str">
        <f>IF(COUNTIFS('PAYG INDICATIVE OPTIONS'!$U$4:$X$9,'Loan Repayment Input Sheet'!B191)&gt;0,0,"")</f>
        <v/>
      </c>
      <c r="E191" s="27"/>
      <c r="F191" s="10">
        <f t="shared" si="13"/>
        <v>0</v>
      </c>
      <c r="G191" s="29">
        <f t="shared" si="14"/>
        <v>0</v>
      </c>
      <c r="H191" s="29">
        <f t="shared" si="15"/>
        <v>0</v>
      </c>
      <c r="I191" s="29">
        <f t="shared" si="16"/>
        <v>0</v>
      </c>
      <c r="J191" s="29">
        <f t="shared" si="17"/>
        <v>0</v>
      </c>
      <c r="K191" s="41"/>
      <c r="L191" s="41"/>
      <c r="M191" s="41"/>
      <c r="N191" s="41"/>
      <c r="Q191" s="14"/>
    </row>
    <row r="192" spans="1:17" x14ac:dyDescent="0.2">
      <c r="B192" s="1">
        <v>172</v>
      </c>
      <c r="C192" s="13">
        <f t="shared" si="12"/>
        <v>49705</v>
      </c>
      <c r="D192" s="46" t="str">
        <f>IF(COUNTIFS('PAYG INDICATIVE OPTIONS'!$U$4:$X$9,'Loan Repayment Input Sheet'!B192)&gt;0,0,"")</f>
        <v/>
      </c>
      <c r="E192" s="27"/>
      <c r="F192" s="10">
        <f t="shared" si="13"/>
        <v>0</v>
      </c>
      <c r="G192" s="29">
        <f t="shared" si="14"/>
        <v>0</v>
      </c>
      <c r="H192" s="29">
        <f t="shared" si="15"/>
        <v>0</v>
      </c>
      <c r="I192" s="29">
        <f t="shared" si="16"/>
        <v>0</v>
      </c>
      <c r="J192" s="29">
        <f t="shared" si="17"/>
        <v>0</v>
      </c>
      <c r="K192" s="41"/>
      <c r="L192" s="41"/>
      <c r="M192" s="41"/>
      <c r="N192" s="41"/>
      <c r="Q192" s="14"/>
    </row>
    <row r="193" spans="1:17" x14ac:dyDescent="0.2">
      <c r="B193" s="1">
        <v>173</v>
      </c>
      <c r="C193" s="13">
        <f t="shared" si="12"/>
        <v>49734</v>
      </c>
      <c r="D193" s="46" t="str">
        <f>IF(COUNTIFS('PAYG INDICATIVE OPTIONS'!$U$4:$X$9,'Loan Repayment Input Sheet'!B193)&gt;0,0,"")</f>
        <v/>
      </c>
      <c r="E193" s="27"/>
      <c r="F193" s="10">
        <f t="shared" si="13"/>
        <v>0</v>
      </c>
      <c r="G193" s="29">
        <f t="shared" si="14"/>
        <v>0</v>
      </c>
      <c r="H193" s="29">
        <f t="shared" si="15"/>
        <v>0</v>
      </c>
      <c r="I193" s="29">
        <f t="shared" si="16"/>
        <v>0</v>
      </c>
      <c r="J193" s="29">
        <f t="shared" si="17"/>
        <v>0</v>
      </c>
      <c r="K193" s="41"/>
      <c r="L193" s="41"/>
      <c r="M193" s="41"/>
      <c r="N193" s="41"/>
      <c r="Q193" s="14"/>
    </row>
    <row r="194" spans="1:17" x14ac:dyDescent="0.2">
      <c r="B194" s="1">
        <v>174</v>
      </c>
      <c r="C194" s="13">
        <f t="shared" si="12"/>
        <v>49765</v>
      </c>
      <c r="D194" s="46" t="str">
        <f>IF(COUNTIFS('PAYG INDICATIVE OPTIONS'!$U$4:$X$9,'Loan Repayment Input Sheet'!B194)&gt;0,0,"")</f>
        <v/>
      </c>
      <c r="E194" s="27"/>
      <c r="F194" s="10">
        <f t="shared" si="13"/>
        <v>0</v>
      </c>
      <c r="G194" s="29">
        <f t="shared" si="14"/>
        <v>0</v>
      </c>
      <c r="H194" s="29">
        <f t="shared" si="15"/>
        <v>0</v>
      </c>
      <c r="I194" s="29">
        <f t="shared" si="16"/>
        <v>0</v>
      </c>
      <c r="J194" s="29">
        <f t="shared" si="17"/>
        <v>0</v>
      </c>
      <c r="K194" s="41"/>
      <c r="L194" s="41"/>
      <c r="M194" s="41"/>
      <c r="N194" s="41"/>
      <c r="Q194" s="14"/>
    </row>
    <row r="195" spans="1:17" x14ac:dyDescent="0.2">
      <c r="B195" s="1">
        <v>175</v>
      </c>
      <c r="C195" s="13">
        <f t="shared" si="12"/>
        <v>49795</v>
      </c>
      <c r="D195" s="46" t="str">
        <f>IF(COUNTIFS('PAYG INDICATIVE OPTIONS'!$U$4:$X$9,'Loan Repayment Input Sheet'!B195)&gt;0,0,"")</f>
        <v/>
      </c>
      <c r="E195" s="27"/>
      <c r="F195" s="10">
        <f t="shared" si="13"/>
        <v>0</v>
      </c>
      <c r="G195" s="29">
        <f t="shared" si="14"/>
        <v>0</v>
      </c>
      <c r="H195" s="29">
        <f t="shared" si="15"/>
        <v>0</v>
      </c>
      <c r="I195" s="29">
        <f t="shared" si="16"/>
        <v>0</v>
      </c>
      <c r="J195" s="29">
        <f t="shared" si="17"/>
        <v>0</v>
      </c>
      <c r="K195" s="41"/>
      <c r="L195" s="41"/>
      <c r="M195" s="41"/>
      <c r="N195" s="41"/>
      <c r="Q195" s="14"/>
    </row>
    <row r="196" spans="1:17" x14ac:dyDescent="0.2">
      <c r="B196" s="1">
        <v>176</v>
      </c>
      <c r="C196" s="13">
        <f t="shared" si="12"/>
        <v>49826</v>
      </c>
      <c r="D196" s="46" t="str">
        <f>IF(COUNTIFS('PAYG INDICATIVE OPTIONS'!$U$4:$X$9,'Loan Repayment Input Sheet'!B196)&gt;0,0,"")</f>
        <v/>
      </c>
      <c r="E196" s="27"/>
      <c r="F196" s="10">
        <f t="shared" si="13"/>
        <v>0</v>
      </c>
      <c r="G196" s="29">
        <f t="shared" si="14"/>
        <v>0</v>
      </c>
      <c r="H196" s="29">
        <f t="shared" si="15"/>
        <v>0</v>
      </c>
      <c r="I196" s="29">
        <f t="shared" si="16"/>
        <v>0</v>
      </c>
      <c r="J196" s="29">
        <f t="shared" si="17"/>
        <v>0</v>
      </c>
      <c r="K196" s="41"/>
      <c r="L196" s="41"/>
      <c r="M196" s="41"/>
      <c r="N196" s="41"/>
      <c r="Q196" s="14"/>
    </row>
    <row r="197" spans="1:17" x14ac:dyDescent="0.2">
      <c r="B197" s="1">
        <v>177</v>
      </c>
      <c r="C197" s="13">
        <f t="shared" si="12"/>
        <v>49856</v>
      </c>
      <c r="D197" s="46" t="str">
        <f>IF(COUNTIFS('PAYG INDICATIVE OPTIONS'!$U$4:$X$9,'Loan Repayment Input Sheet'!B197)&gt;0,0,"")</f>
        <v/>
      </c>
      <c r="E197" s="27"/>
      <c r="F197" s="10">
        <f t="shared" si="13"/>
        <v>0</v>
      </c>
      <c r="G197" s="29">
        <f t="shared" si="14"/>
        <v>0</v>
      </c>
      <c r="H197" s="29">
        <f t="shared" si="15"/>
        <v>0</v>
      </c>
      <c r="I197" s="29">
        <f t="shared" si="16"/>
        <v>0</v>
      </c>
      <c r="J197" s="29">
        <f t="shared" si="17"/>
        <v>0</v>
      </c>
      <c r="K197" s="41"/>
      <c r="L197" s="41"/>
      <c r="M197" s="41"/>
      <c r="N197" s="41"/>
      <c r="Q197" s="14"/>
    </row>
    <row r="198" spans="1:17" x14ac:dyDescent="0.2">
      <c r="B198" s="1">
        <v>178</v>
      </c>
      <c r="C198" s="13">
        <f t="shared" si="12"/>
        <v>49887</v>
      </c>
      <c r="D198" s="46" t="str">
        <f>IF(COUNTIFS('PAYG INDICATIVE OPTIONS'!$U$4:$X$9,'Loan Repayment Input Sheet'!B198)&gt;0,0,"")</f>
        <v/>
      </c>
      <c r="E198" s="27"/>
      <c r="F198" s="10">
        <f t="shared" si="13"/>
        <v>0</v>
      </c>
      <c r="G198" s="29">
        <f t="shared" si="14"/>
        <v>0</v>
      </c>
      <c r="H198" s="29">
        <f t="shared" si="15"/>
        <v>0</v>
      </c>
      <c r="I198" s="29">
        <f t="shared" si="16"/>
        <v>0</v>
      </c>
      <c r="J198" s="29">
        <f t="shared" si="17"/>
        <v>0</v>
      </c>
      <c r="K198" s="41"/>
      <c r="L198" s="41"/>
      <c r="M198" s="41"/>
      <c r="N198" s="41"/>
      <c r="Q198" s="14"/>
    </row>
    <row r="199" spans="1:17" x14ac:dyDescent="0.2">
      <c r="B199" s="1">
        <v>179</v>
      </c>
      <c r="C199" s="13">
        <f t="shared" si="12"/>
        <v>49918</v>
      </c>
      <c r="D199" s="46" t="str">
        <f>IF(COUNTIFS('PAYG INDICATIVE OPTIONS'!$U$4:$X$9,'Loan Repayment Input Sheet'!B199)&gt;0,0,"")</f>
        <v/>
      </c>
      <c r="E199" s="27"/>
      <c r="F199" s="10">
        <f t="shared" si="13"/>
        <v>0</v>
      </c>
      <c r="G199" s="29">
        <f t="shared" si="14"/>
        <v>0</v>
      </c>
      <c r="H199" s="29">
        <f t="shared" si="15"/>
        <v>0</v>
      </c>
      <c r="I199" s="29">
        <f t="shared" si="16"/>
        <v>0</v>
      </c>
      <c r="J199" s="29">
        <f t="shared" si="17"/>
        <v>0</v>
      </c>
      <c r="K199" s="41"/>
      <c r="L199" s="41"/>
      <c r="M199" s="41"/>
      <c r="N199" s="41"/>
      <c r="Q199" s="14"/>
    </row>
    <row r="200" spans="1:17" x14ac:dyDescent="0.2">
      <c r="B200" s="1">
        <v>180</v>
      </c>
      <c r="C200" s="13">
        <f t="shared" si="12"/>
        <v>49948</v>
      </c>
      <c r="D200" s="46" t="str">
        <f>IF(COUNTIFS('PAYG INDICATIVE OPTIONS'!$U$4:$X$9,'Loan Repayment Input Sheet'!B200)&gt;0,0,"")</f>
        <v/>
      </c>
      <c r="E200" s="27"/>
      <c r="F200" s="10">
        <f t="shared" si="13"/>
        <v>0</v>
      </c>
      <c r="G200" s="29">
        <f t="shared" si="14"/>
        <v>0</v>
      </c>
      <c r="H200" s="29">
        <f t="shared" si="15"/>
        <v>0</v>
      </c>
      <c r="I200" s="29">
        <f t="shared" si="16"/>
        <v>0</v>
      </c>
      <c r="J200" s="29">
        <f t="shared" si="17"/>
        <v>0</v>
      </c>
      <c r="K200" s="41"/>
      <c r="L200" s="41"/>
      <c r="M200" s="41"/>
      <c r="N200" s="41"/>
      <c r="Q200" s="14"/>
    </row>
    <row r="201" spans="1:17" x14ac:dyDescent="0.2">
      <c r="A201" s="1">
        <f>IF($A$18=1,16,IF($A$18=3,""))</f>
        <v>16</v>
      </c>
      <c r="B201" s="1">
        <v>181</v>
      </c>
      <c r="C201" s="13">
        <f t="shared" si="12"/>
        <v>49979</v>
      </c>
      <c r="D201" s="46" t="str">
        <f>IF(COUNTIFS('PAYG INDICATIVE OPTIONS'!$U$4:$X$9,'Loan Repayment Input Sheet'!B201)&gt;0,0,"")</f>
        <v/>
      </c>
      <c r="E201" s="27"/>
      <c r="F201" s="10">
        <f t="shared" si="13"/>
        <v>0</v>
      </c>
      <c r="G201" s="29">
        <f t="shared" si="14"/>
        <v>0</v>
      </c>
      <c r="H201" s="29">
        <f t="shared" si="15"/>
        <v>0</v>
      </c>
      <c r="I201" s="29">
        <f t="shared" si="16"/>
        <v>0</v>
      </c>
      <c r="J201" s="29">
        <f t="shared" si="17"/>
        <v>0</v>
      </c>
      <c r="K201" s="41"/>
      <c r="L201" s="41"/>
      <c r="M201" s="41"/>
      <c r="N201" s="41"/>
    </row>
    <row r="202" spans="1:17" x14ac:dyDescent="0.2">
      <c r="B202" s="1">
        <v>182</v>
      </c>
      <c r="C202" s="13">
        <f t="shared" si="12"/>
        <v>50009</v>
      </c>
      <c r="D202" s="46" t="str">
        <f>IF(COUNTIFS('PAYG INDICATIVE OPTIONS'!$U$4:$X$9,'Loan Repayment Input Sheet'!B202)&gt;0,0,"")</f>
        <v/>
      </c>
      <c r="E202" s="27"/>
      <c r="F202" s="10">
        <f t="shared" si="13"/>
        <v>0</v>
      </c>
      <c r="G202" s="29">
        <f t="shared" si="14"/>
        <v>0</v>
      </c>
      <c r="H202" s="29">
        <f t="shared" si="15"/>
        <v>0</v>
      </c>
      <c r="I202" s="29">
        <f t="shared" si="16"/>
        <v>0</v>
      </c>
      <c r="J202" s="29">
        <f t="shared" si="17"/>
        <v>0</v>
      </c>
      <c r="K202" s="41"/>
      <c r="L202" s="41"/>
      <c r="M202" s="41"/>
      <c r="N202" s="41"/>
      <c r="Q202" s="17"/>
    </row>
    <row r="203" spans="1:17" x14ac:dyDescent="0.2">
      <c r="B203" s="1">
        <v>183</v>
      </c>
      <c r="C203" s="13">
        <f t="shared" si="12"/>
        <v>50040</v>
      </c>
      <c r="D203" s="46" t="str">
        <f>IF(COUNTIFS('PAYG INDICATIVE OPTIONS'!$U$4:$X$9,'Loan Repayment Input Sheet'!B203)&gt;0,0,"")</f>
        <v/>
      </c>
      <c r="E203" s="27"/>
      <c r="F203" s="10">
        <f t="shared" si="13"/>
        <v>0</v>
      </c>
      <c r="G203" s="29">
        <f t="shared" si="14"/>
        <v>0</v>
      </c>
      <c r="H203" s="29">
        <f t="shared" si="15"/>
        <v>0</v>
      </c>
      <c r="I203" s="29">
        <f t="shared" si="16"/>
        <v>0</v>
      </c>
      <c r="J203" s="29">
        <f t="shared" si="17"/>
        <v>0</v>
      </c>
      <c r="K203" s="41"/>
      <c r="L203" s="41"/>
      <c r="M203" s="41"/>
      <c r="N203" s="41"/>
      <c r="Q203" s="17"/>
    </row>
    <row r="204" spans="1:17" x14ac:dyDescent="0.2">
      <c r="B204" s="1">
        <v>184</v>
      </c>
      <c r="C204" s="13">
        <f t="shared" si="12"/>
        <v>50071</v>
      </c>
      <c r="D204" s="46" t="str">
        <f>IF(COUNTIFS('PAYG INDICATIVE OPTIONS'!$U$4:$X$9,'Loan Repayment Input Sheet'!B204)&gt;0,0,"")</f>
        <v/>
      </c>
      <c r="E204" s="27"/>
      <c r="F204" s="10">
        <f t="shared" si="13"/>
        <v>0</v>
      </c>
      <c r="G204" s="29">
        <f t="shared" si="14"/>
        <v>0</v>
      </c>
      <c r="H204" s="29">
        <f t="shared" si="15"/>
        <v>0</v>
      </c>
      <c r="I204" s="29">
        <f t="shared" si="16"/>
        <v>0</v>
      </c>
      <c r="J204" s="29">
        <f t="shared" si="17"/>
        <v>0</v>
      </c>
      <c r="K204" s="41"/>
      <c r="L204" s="41"/>
      <c r="M204" s="41"/>
      <c r="N204" s="41"/>
    </row>
    <row r="205" spans="1:17" x14ac:dyDescent="0.2">
      <c r="B205" s="1">
        <v>185</v>
      </c>
      <c r="C205" s="13">
        <f t="shared" si="12"/>
        <v>50099</v>
      </c>
      <c r="D205" s="46" t="str">
        <f>IF(COUNTIFS('PAYG INDICATIVE OPTIONS'!$U$4:$X$9,'Loan Repayment Input Sheet'!B205)&gt;0,0,"")</f>
        <v/>
      </c>
      <c r="E205" s="27"/>
      <c r="F205" s="10">
        <f t="shared" si="13"/>
        <v>0</v>
      </c>
      <c r="G205" s="29">
        <f t="shared" si="14"/>
        <v>0</v>
      </c>
      <c r="H205" s="29">
        <f t="shared" si="15"/>
        <v>0</v>
      </c>
      <c r="I205" s="29">
        <f t="shared" si="16"/>
        <v>0</v>
      </c>
      <c r="J205" s="29">
        <f t="shared" si="17"/>
        <v>0</v>
      </c>
      <c r="K205" s="41"/>
      <c r="L205" s="41"/>
      <c r="M205" s="41"/>
      <c r="N205" s="41"/>
    </row>
    <row r="206" spans="1:17" x14ac:dyDescent="0.2">
      <c r="B206" s="1">
        <v>186</v>
      </c>
      <c r="C206" s="13">
        <f t="shared" si="12"/>
        <v>50130</v>
      </c>
      <c r="D206" s="46" t="str">
        <f>IF(COUNTIFS('PAYG INDICATIVE OPTIONS'!$U$4:$X$9,'Loan Repayment Input Sheet'!B206)&gt;0,0,"")</f>
        <v/>
      </c>
      <c r="E206" s="27"/>
      <c r="F206" s="10">
        <f t="shared" si="13"/>
        <v>0</v>
      </c>
      <c r="G206" s="29">
        <f t="shared" si="14"/>
        <v>0</v>
      </c>
      <c r="H206" s="29">
        <f t="shared" si="15"/>
        <v>0</v>
      </c>
      <c r="I206" s="29">
        <f t="shared" si="16"/>
        <v>0</v>
      </c>
      <c r="J206" s="29">
        <f t="shared" si="17"/>
        <v>0</v>
      </c>
      <c r="K206" s="41"/>
      <c r="L206" s="41"/>
      <c r="M206" s="41"/>
      <c r="N206" s="41"/>
    </row>
    <row r="207" spans="1:17" x14ac:dyDescent="0.2">
      <c r="B207" s="1">
        <v>187</v>
      </c>
      <c r="C207" s="13">
        <f t="shared" si="12"/>
        <v>50160</v>
      </c>
      <c r="D207" s="46" t="str">
        <f>IF(COUNTIFS('PAYG INDICATIVE OPTIONS'!$U$4:$X$9,'Loan Repayment Input Sheet'!B207)&gt;0,0,"")</f>
        <v/>
      </c>
      <c r="E207" s="27"/>
      <c r="F207" s="10">
        <f t="shared" si="13"/>
        <v>0</v>
      </c>
      <c r="G207" s="29">
        <f t="shared" si="14"/>
        <v>0</v>
      </c>
      <c r="H207" s="29">
        <f t="shared" si="15"/>
        <v>0</v>
      </c>
      <c r="I207" s="29">
        <f t="shared" si="16"/>
        <v>0</v>
      </c>
      <c r="J207" s="29">
        <f t="shared" si="17"/>
        <v>0</v>
      </c>
      <c r="K207" s="41"/>
      <c r="L207" s="41"/>
      <c r="M207" s="41"/>
      <c r="N207" s="41"/>
    </row>
    <row r="208" spans="1:17" x14ac:dyDescent="0.2">
      <c r="B208" s="1">
        <v>188</v>
      </c>
      <c r="C208" s="13">
        <f t="shared" si="12"/>
        <v>50191</v>
      </c>
      <c r="D208" s="46" t="str">
        <f>IF(COUNTIFS('PAYG INDICATIVE OPTIONS'!$U$4:$X$9,'Loan Repayment Input Sheet'!B208)&gt;0,0,"")</f>
        <v/>
      </c>
      <c r="E208" s="27"/>
      <c r="F208" s="10">
        <f t="shared" si="13"/>
        <v>0</v>
      </c>
      <c r="G208" s="29">
        <f t="shared" si="14"/>
        <v>0</v>
      </c>
      <c r="H208" s="29">
        <f t="shared" si="15"/>
        <v>0</v>
      </c>
      <c r="I208" s="29">
        <f t="shared" si="16"/>
        <v>0</v>
      </c>
      <c r="J208" s="29">
        <f t="shared" si="17"/>
        <v>0</v>
      </c>
      <c r="K208" s="41"/>
      <c r="L208" s="41"/>
      <c r="M208" s="41"/>
      <c r="N208" s="41"/>
    </row>
    <row r="209" spans="1:14" x14ac:dyDescent="0.2">
      <c r="B209" s="1">
        <v>189</v>
      </c>
      <c r="C209" s="13">
        <f t="shared" si="12"/>
        <v>50221</v>
      </c>
      <c r="D209" s="46" t="str">
        <f>IF(COUNTIFS('PAYG INDICATIVE OPTIONS'!$U$4:$X$9,'Loan Repayment Input Sheet'!B209)&gt;0,0,"")</f>
        <v/>
      </c>
      <c r="E209" s="27"/>
      <c r="F209" s="10">
        <f t="shared" si="13"/>
        <v>0</v>
      </c>
      <c r="G209" s="29">
        <f t="shared" si="14"/>
        <v>0</v>
      </c>
      <c r="H209" s="12">
        <f t="shared" si="15"/>
        <v>0</v>
      </c>
      <c r="I209" s="12">
        <f t="shared" si="16"/>
        <v>0</v>
      </c>
      <c r="J209" s="29">
        <f t="shared" si="17"/>
        <v>0</v>
      </c>
      <c r="K209" s="41"/>
      <c r="L209" s="41"/>
      <c r="M209" s="41"/>
      <c r="N209" s="41"/>
    </row>
    <row r="210" spans="1:14" x14ac:dyDescent="0.2">
      <c r="B210" s="1">
        <v>190</v>
      </c>
      <c r="C210" s="13">
        <f t="shared" ref="C210:C273" si="18">EOMONTH(C209,$A$18)</f>
        <v>50252</v>
      </c>
      <c r="D210" s="46" t="str">
        <f>IF(COUNTIFS('PAYG INDICATIVE OPTIONS'!$U$4:$X$9,'Loan Repayment Input Sheet'!B210)&gt;0,0,"")</f>
        <v/>
      </c>
      <c r="E210" s="27"/>
      <c r="F210" s="10">
        <f t="shared" si="13"/>
        <v>0</v>
      </c>
      <c r="G210" s="29">
        <f t="shared" si="14"/>
        <v>0</v>
      </c>
      <c r="H210" s="12">
        <f t="shared" si="15"/>
        <v>0</v>
      </c>
      <c r="I210" s="12">
        <f t="shared" si="16"/>
        <v>0</v>
      </c>
      <c r="J210" s="29">
        <f t="shared" si="17"/>
        <v>0</v>
      </c>
      <c r="K210" s="41"/>
      <c r="L210" s="41"/>
      <c r="M210" s="41"/>
      <c r="N210" s="41"/>
    </row>
    <row r="211" spans="1:14" x14ac:dyDescent="0.2">
      <c r="B211" s="1">
        <v>191</v>
      </c>
      <c r="C211" s="13">
        <f t="shared" si="18"/>
        <v>50283</v>
      </c>
      <c r="D211" s="46" t="str">
        <f>IF(COUNTIFS('PAYG INDICATIVE OPTIONS'!$U$4:$X$9,'Loan Repayment Input Sheet'!B211)&gt;0,0,"")</f>
        <v/>
      </c>
      <c r="E211" s="27"/>
      <c r="F211" s="10">
        <f t="shared" si="13"/>
        <v>0</v>
      </c>
      <c r="G211" s="29">
        <f t="shared" si="14"/>
        <v>0</v>
      </c>
      <c r="H211" s="12">
        <f t="shared" si="15"/>
        <v>0</v>
      </c>
      <c r="I211" s="12">
        <f t="shared" si="16"/>
        <v>0</v>
      </c>
      <c r="J211" s="29">
        <f t="shared" si="17"/>
        <v>0</v>
      </c>
      <c r="K211" s="41"/>
      <c r="L211" s="41"/>
      <c r="M211" s="41"/>
      <c r="N211" s="41"/>
    </row>
    <row r="212" spans="1:14" x14ac:dyDescent="0.2">
      <c r="B212" s="1">
        <v>192</v>
      </c>
      <c r="C212" s="13">
        <f t="shared" si="18"/>
        <v>50313</v>
      </c>
      <c r="D212" s="46" t="str">
        <f>IF(COUNTIFS('PAYG INDICATIVE OPTIONS'!$U$4:$X$9,'Loan Repayment Input Sheet'!B212)&gt;0,0,"")</f>
        <v/>
      </c>
      <c r="E212" s="27"/>
      <c r="F212" s="10">
        <f t="shared" si="13"/>
        <v>0</v>
      </c>
      <c r="G212" s="29">
        <f t="shared" si="14"/>
        <v>0</v>
      </c>
      <c r="H212" s="12">
        <f t="shared" si="15"/>
        <v>0</v>
      </c>
      <c r="I212" s="12">
        <f t="shared" si="16"/>
        <v>0</v>
      </c>
      <c r="J212" s="29">
        <f t="shared" si="17"/>
        <v>0</v>
      </c>
      <c r="K212" s="41"/>
      <c r="L212" s="41"/>
      <c r="M212" s="41"/>
      <c r="N212" s="41"/>
    </row>
    <row r="213" spans="1:14" x14ac:dyDescent="0.2">
      <c r="A213" s="1">
        <f>IF($A$18=1,17,IF($A$18=3,""))</f>
        <v>17</v>
      </c>
      <c r="B213" s="1">
        <v>193</v>
      </c>
      <c r="C213" s="13">
        <f t="shared" si="18"/>
        <v>50344</v>
      </c>
      <c r="D213" s="46" t="str">
        <f>IF(COUNTIFS('PAYG INDICATIVE OPTIONS'!$U$4:$X$9,'Loan Repayment Input Sheet'!B213)&gt;0,0,"")</f>
        <v/>
      </c>
      <c r="E213" s="27"/>
      <c r="F213" s="10">
        <f t="shared" ref="F213:F276" si="19">IF(AND($H$10="Yes",$C213&lt;$H$11),J212*$H$12/$M$5,J212*$M$8/$M$5)</f>
        <v>0</v>
      </c>
      <c r="G213" s="29">
        <f t="shared" ref="G213:G276" si="20">IF(E213="",IF(AND($H$10="Yes",$C213&lt;$H$11),J212*$H$12/$M$5,J212*$M$8/$M$5),E213)</f>
        <v>0</v>
      </c>
      <c r="H213" s="12">
        <f t="shared" si="15"/>
        <v>0</v>
      </c>
      <c r="I213" s="12">
        <f t="shared" si="16"/>
        <v>0</v>
      </c>
      <c r="J213" s="29">
        <f t="shared" si="17"/>
        <v>0</v>
      </c>
      <c r="K213" s="41"/>
      <c r="L213" s="41"/>
      <c r="M213" s="41"/>
      <c r="N213" s="41"/>
    </row>
    <row r="214" spans="1:14" x14ac:dyDescent="0.2">
      <c r="B214" s="1">
        <v>194</v>
      </c>
      <c r="C214" s="13">
        <f t="shared" si="18"/>
        <v>50374</v>
      </c>
      <c r="D214" s="46" t="str">
        <f>IF(COUNTIFS('PAYG INDICATIVE OPTIONS'!$U$4:$X$9,'Loan Repayment Input Sheet'!B214)&gt;0,0,"")</f>
        <v/>
      </c>
      <c r="E214" s="27"/>
      <c r="F214" s="10">
        <f t="shared" si="19"/>
        <v>0</v>
      </c>
      <c r="G214" s="29">
        <f t="shared" si="20"/>
        <v>0</v>
      </c>
      <c r="H214" s="12">
        <f t="shared" ref="H214:H277" si="21">IF(D214="",I214-G214,D214)</f>
        <v>0</v>
      </c>
      <c r="I214" s="12">
        <f t="shared" ref="I214:I277" si="22">IF(D214&lt;&gt;"",
D214+G214,
IF($H$14&lt;&gt;"",
$H$14,
IF($H$15&lt;&gt;"",
$H$15+G214,
IF(AND($H$10="Yes",$C214&lt;$H$11),
IF(ISERROR(ABS(PMT($H$12/$M$5,$M$6-B213,J213))),0,ABS(PMT($H$12/$M$5,$M$6-B213,J213))),
IF(ISERROR(ABS(PMT($M$8/$M$5,$M$6-B213,J213))),0,ABS(PMT($M$8/$M$5,$M$6-B213,J213)))))))</f>
        <v>0</v>
      </c>
      <c r="J214" s="29">
        <f t="shared" ref="J214:J277" si="23">J213-(I214-F214)</f>
        <v>0</v>
      </c>
      <c r="K214" s="41"/>
      <c r="L214" s="41"/>
      <c r="M214" s="41"/>
      <c r="N214" s="41"/>
    </row>
    <row r="215" spans="1:14" x14ac:dyDescent="0.2">
      <c r="B215" s="1">
        <v>195</v>
      </c>
      <c r="C215" s="13">
        <f t="shared" si="18"/>
        <v>50405</v>
      </c>
      <c r="D215" s="46" t="str">
        <f>IF(COUNTIFS('PAYG INDICATIVE OPTIONS'!$U$4:$X$9,'Loan Repayment Input Sheet'!B215)&gt;0,0,"")</f>
        <v/>
      </c>
      <c r="E215" s="27"/>
      <c r="F215" s="10">
        <f t="shared" si="19"/>
        <v>0</v>
      </c>
      <c r="G215" s="29">
        <f t="shared" si="20"/>
        <v>0</v>
      </c>
      <c r="H215" s="12">
        <f t="shared" si="21"/>
        <v>0</v>
      </c>
      <c r="I215" s="12">
        <f t="shared" si="22"/>
        <v>0</v>
      </c>
      <c r="J215" s="29">
        <f t="shared" si="23"/>
        <v>0</v>
      </c>
      <c r="K215" s="41"/>
      <c r="L215" s="41"/>
      <c r="M215" s="41"/>
      <c r="N215" s="41"/>
    </row>
    <row r="216" spans="1:14" x14ac:dyDescent="0.2">
      <c r="B216" s="1">
        <v>196</v>
      </c>
      <c r="C216" s="13">
        <f t="shared" si="18"/>
        <v>50436</v>
      </c>
      <c r="D216" s="46" t="str">
        <f>IF(COUNTIFS('PAYG INDICATIVE OPTIONS'!$U$4:$X$9,'Loan Repayment Input Sheet'!B216)&gt;0,0,"")</f>
        <v/>
      </c>
      <c r="E216" s="27"/>
      <c r="F216" s="10">
        <f t="shared" si="19"/>
        <v>0</v>
      </c>
      <c r="G216" s="29">
        <f t="shared" si="20"/>
        <v>0</v>
      </c>
      <c r="H216" s="12">
        <f t="shared" si="21"/>
        <v>0</v>
      </c>
      <c r="I216" s="12">
        <f t="shared" si="22"/>
        <v>0</v>
      </c>
      <c r="J216" s="29">
        <f t="shared" si="23"/>
        <v>0</v>
      </c>
      <c r="K216" s="41"/>
      <c r="L216" s="41"/>
      <c r="M216" s="41"/>
      <c r="N216" s="41"/>
    </row>
    <row r="217" spans="1:14" x14ac:dyDescent="0.2">
      <c r="B217" s="1">
        <v>197</v>
      </c>
      <c r="C217" s="13">
        <f t="shared" si="18"/>
        <v>50464</v>
      </c>
      <c r="D217" s="46" t="str">
        <f>IF(COUNTIFS('PAYG INDICATIVE OPTIONS'!$U$4:$X$9,'Loan Repayment Input Sheet'!B217)&gt;0,0,"")</f>
        <v/>
      </c>
      <c r="E217" s="27"/>
      <c r="F217" s="10">
        <f t="shared" si="19"/>
        <v>0</v>
      </c>
      <c r="G217" s="29">
        <f t="shared" si="20"/>
        <v>0</v>
      </c>
      <c r="H217" s="12">
        <f t="shared" si="21"/>
        <v>0</v>
      </c>
      <c r="I217" s="12">
        <f t="shared" si="22"/>
        <v>0</v>
      </c>
      <c r="J217" s="29">
        <f t="shared" si="23"/>
        <v>0</v>
      </c>
      <c r="K217" s="41"/>
      <c r="L217" s="41"/>
      <c r="M217" s="41"/>
      <c r="N217" s="41"/>
    </row>
    <row r="218" spans="1:14" x14ac:dyDescent="0.2">
      <c r="B218" s="1">
        <v>198</v>
      </c>
      <c r="C218" s="13">
        <f t="shared" si="18"/>
        <v>50495</v>
      </c>
      <c r="D218" s="46" t="str">
        <f>IF(COUNTIFS('PAYG INDICATIVE OPTIONS'!$U$4:$X$9,'Loan Repayment Input Sheet'!B218)&gt;0,0,"")</f>
        <v/>
      </c>
      <c r="E218" s="27"/>
      <c r="F218" s="10">
        <f t="shared" si="19"/>
        <v>0</v>
      </c>
      <c r="G218" s="29">
        <f t="shared" si="20"/>
        <v>0</v>
      </c>
      <c r="H218" s="12">
        <f t="shared" si="21"/>
        <v>0</v>
      </c>
      <c r="I218" s="12">
        <f t="shared" si="22"/>
        <v>0</v>
      </c>
      <c r="J218" s="29">
        <f t="shared" si="23"/>
        <v>0</v>
      </c>
      <c r="K218" s="41"/>
      <c r="L218" s="41"/>
      <c r="M218" s="41"/>
      <c r="N218" s="41"/>
    </row>
    <row r="219" spans="1:14" x14ac:dyDescent="0.2">
      <c r="B219" s="1">
        <v>199</v>
      </c>
      <c r="C219" s="13">
        <f t="shared" si="18"/>
        <v>50525</v>
      </c>
      <c r="D219" s="46" t="str">
        <f>IF(COUNTIFS('PAYG INDICATIVE OPTIONS'!$U$4:$X$9,'Loan Repayment Input Sheet'!B219)&gt;0,0,"")</f>
        <v/>
      </c>
      <c r="E219" s="27"/>
      <c r="F219" s="10">
        <f t="shared" si="19"/>
        <v>0</v>
      </c>
      <c r="G219" s="29">
        <f t="shared" si="20"/>
        <v>0</v>
      </c>
      <c r="H219" s="12">
        <f t="shared" si="21"/>
        <v>0</v>
      </c>
      <c r="I219" s="12">
        <f t="shared" si="22"/>
        <v>0</v>
      </c>
      <c r="J219" s="29">
        <f t="shared" si="23"/>
        <v>0</v>
      </c>
      <c r="K219" s="41"/>
      <c r="L219" s="41"/>
      <c r="M219" s="41"/>
      <c r="N219" s="41"/>
    </row>
    <row r="220" spans="1:14" x14ac:dyDescent="0.2">
      <c r="B220" s="1">
        <v>200</v>
      </c>
      <c r="C220" s="13">
        <f t="shared" si="18"/>
        <v>50556</v>
      </c>
      <c r="D220" s="46" t="str">
        <f>IF(COUNTIFS('PAYG INDICATIVE OPTIONS'!$U$4:$X$9,'Loan Repayment Input Sheet'!B220)&gt;0,0,"")</f>
        <v/>
      </c>
      <c r="E220" s="27"/>
      <c r="F220" s="10">
        <f t="shared" si="19"/>
        <v>0</v>
      </c>
      <c r="G220" s="29">
        <f t="shared" si="20"/>
        <v>0</v>
      </c>
      <c r="H220" s="12">
        <f t="shared" si="21"/>
        <v>0</v>
      </c>
      <c r="I220" s="12">
        <f t="shared" si="22"/>
        <v>0</v>
      </c>
      <c r="J220" s="29">
        <f t="shared" si="23"/>
        <v>0</v>
      </c>
      <c r="K220" s="41"/>
      <c r="L220" s="41"/>
      <c r="M220" s="41"/>
      <c r="N220" s="41"/>
    </row>
    <row r="221" spans="1:14" x14ac:dyDescent="0.2">
      <c r="B221" s="1">
        <v>201</v>
      </c>
      <c r="C221" s="13">
        <f t="shared" si="18"/>
        <v>50586</v>
      </c>
      <c r="D221" s="46" t="str">
        <f>IF(COUNTIFS('PAYG INDICATIVE OPTIONS'!$U$4:$X$9,'Loan Repayment Input Sheet'!B221)&gt;0,0,"")</f>
        <v/>
      </c>
      <c r="E221" s="27"/>
      <c r="F221" s="10">
        <f t="shared" si="19"/>
        <v>0</v>
      </c>
      <c r="G221" s="29">
        <f t="shared" si="20"/>
        <v>0</v>
      </c>
      <c r="H221" s="12">
        <f t="shared" si="21"/>
        <v>0</v>
      </c>
      <c r="I221" s="12">
        <f t="shared" si="22"/>
        <v>0</v>
      </c>
      <c r="J221" s="29">
        <f t="shared" si="23"/>
        <v>0</v>
      </c>
      <c r="K221" s="41"/>
      <c r="L221" s="41"/>
      <c r="M221" s="41"/>
      <c r="N221" s="41"/>
    </row>
    <row r="222" spans="1:14" x14ac:dyDescent="0.2">
      <c r="B222" s="1">
        <v>202</v>
      </c>
      <c r="C222" s="13">
        <f t="shared" si="18"/>
        <v>50617</v>
      </c>
      <c r="D222" s="46" t="str">
        <f>IF(COUNTIFS('PAYG INDICATIVE OPTIONS'!$U$4:$X$9,'Loan Repayment Input Sheet'!B222)&gt;0,0,"")</f>
        <v/>
      </c>
      <c r="E222" s="27"/>
      <c r="F222" s="10">
        <f t="shared" si="19"/>
        <v>0</v>
      </c>
      <c r="G222" s="29">
        <f t="shared" si="20"/>
        <v>0</v>
      </c>
      <c r="H222" s="12">
        <f t="shared" si="21"/>
        <v>0</v>
      </c>
      <c r="I222" s="12">
        <f t="shared" si="22"/>
        <v>0</v>
      </c>
      <c r="J222" s="29">
        <f t="shared" si="23"/>
        <v>0</v>
      </c>
      <c r="K222" s="41"/>
      <c r="L222" s="41"/>
      <c r="M222" s="41"/>
      <c r="N222" s="41"/>
    </row>
    <row r="223" spans="1:14" x14ac:dyDescent="0.2">
      <c r="B223" s="1">
        <v>203</v>
      </c>
      <c r="C223" s="13">
        <f t="shared" si="18"/>
        <v>50648</v>
      </c>
      <c r="D223" s="46" t="str">
        <f>IF(COUNTIFS('PAYG INDICATIVE OPTIONS'!$U$4:$X$9,'Loan Repayment Input Sheet'!B223)&gt;0,0,"")</f>
        <v/>
      </c>
      <c r="E223" s="27"/>
      <c r="F223" s="10">
        <f t="shared" si="19"/>
        <v>0</v>
      </c>
      <c r="G223" s="29">
        <f t="shared" si="20"/>
        <v>0</v>
      </c>
      <c r="H223" s="12">
        <f t="shared" si="21"/>
        <v>0</v>
      </c>
      <c r="I223" s="12">
        <f t="shared" si="22"/>
        <v>0</v>
      </c>
      <c r="J223" s="29">
        <f t="shared" si="23"/>
        <v>0</v>
      </c>
      <c r="K223" s="41"/>
      <c r="L223" s="41"/>
      <c r="M223" s="41"/>
      <c r="N223" s="41"/>
    </row>
    <row r="224" spans="1:14" x14ac:dyDescent="0.2">
      <c r="B224" s="1">
        <v>204</v>
      </c>
      <c r="C224" s="13">
        <f t="shared" si="18"/>
        <v>50678</v>
      </c>
      <c r="D224" s="46" t="str">
        <f>IF(COUNTIFS('PAYG INDICATIVE OPTIONS'!$U$4:$X$9,'Loan Repayment Input Sheet'!B224)&gt;0,0,"")</f>
        <v/>
      </c>
      <c r="E224" s="27"/>
      <c r="F224" s="10">
        <f t="shared" si="19"/>
        <v>0</v>
      </c>
      <c r="G224" s="29">
        <f t="shared" si="20"/>
        <v>0</v>
      </c>
      <c r="H224" s="12">
        <f t="shared" si="21"/>
        <v>0</v>
      </c>
      <c r="I224" s="12">
        <f t="shared" si="22"/>
        <v>0</v>
      </c>
      <c r="J224" s="29">
        <f t="shared" si="23"/>
        <v>0</v>
      </c>
      <c r="K224" s="41"/>
      <c r="L224" s="41"/>
      <c r="M224" s="41"/>
      <c r="N224" s="41"/>
    </row>
    <row r="225" spans="1:14" x14ac:dyDescent="0.2">
      <c r="A225" s="1">
        <f>IF($A$18=1,18,IF($A$18=3,""))</f>
        <v>18</v>
      </c>
      <c r="B225" s="1">
        <v>205</v>
      </c>
      <c r="C225" s="13">
        <f t="shared" si="18"/>
        <v>50709</v>
      </c>
      <c r="D225" s="46" t="str">
        <f>IF(COUNTIFS('PAYG INDICATIVE OPTIONS'!$U$4:$X$9,'Loan Repayment Input Sheet'!B225)&gt;0,0,"")</f>
        <v/>
      </c>
      <c r="E225" s="27"/>
      <c r="F225" s="10">
        <f t="shared" si="19"/>
        <v>0</v>
      </c>
      <c r="G225" s="29">
        <f t="shared" si="20"/>
        <v>0</v>
      </c>
      <c r="H225" s="12">
        <f t="shared" si="21"/>
        <v>0</v>
      </c>
      <c r="I225" s="12">
        <f t="shared" si="22"/>
        <v>0</v>
      </c>
      <c r="J225" s="29">
        <f t="shared" si="23"/>
        <v>0</v>
      </c>
      <c r="K225" s="41"/>
      <c r="L225" s="41"/>
      <c r="M225" s="41"/>
      <c r="N225" s="41"/>
    </row>
    <row r="226" spans="1:14" x14ac:dyDescent="0.2">
      <c r="B226" s="1">
        <v>206</v>
      </c>
      <c r="C226" s="13">
        <f t="shared" si="18"/>
        <v>50739</v>
      </c>
      <c r="D226" s="46" t="str">
        <f>IF(COUNTIFS('PAYG INDICATIVE OPTIONS'!$U$4:$X$9,'Loan Repayment Input Sheet'!B226)&gt;0,0,"")</f>
        <v/>
      </c>
      <c r="E226" s="27"/>
      <c r="F226" s="10">
        <f t="shared" si="19"/>
        <v>0</v>
      </c>
      <c r="G226" s="29">
        <f t="shared" si="20"/>
        <v>0</v>
      </c>
      <c r="H226" s="12">
        <f t="shared" si="21"/>
        <v>0</v>
      </c>
      <c r="I226" s="12">
        <f t="shared" si="22"/>
        <v>0</v>
      </c>
      <c r="J226" s="29">
        <f t="shared" si="23"/>
        <v>0</v>
      </c>
      <c r="K226" s="41"/>
      <c r="L226" s="41"/>
      <c r="M226" s="41"/>
      <c r="N226" s="41"/>
    </row>
    <row r="227" spans="1:14" x14ac:dyDescent="0.2">
      <c r="B227" s="1">
        <v>207</v>
      </c>
      <c r="C227" s="13">
        <f t="shared" si="18"/>
        <v>50770</v>
      </c>
      <c r="D227" s="46" t="str">
        <f>IF(COUNTIFS('PAYG INDICATIVE OPTIONS'!$U$4:$X$9,'Loan Repayment Input Sheet'!B227)&gt;0,0,"")</f>
        <v/>
      </c>
      <c r="E227" s="27"/>
      <c r="F227" s="10">
        <f t="shared" si="19"/>
        <v>0</v>
      </c>
      <c r="G227" s="29">
        <f t="shared" si="20"/>
        <v>0</v>
      </c>
      <c r="H227" s="12">
        <f t="shared" si="21"/>
        <v>0</v>
      </c>
      <c r="I227" s="12">
        <f t="shared" si="22"/>
        <v>0</v>
      </c>
      <c r="J227" s="29">
        <f t="shared" si="23"/>
        <v>0</v>
      </c>
      <c r="K227" s="41"/>
      <c r="L227" s="41"/>
      <c r="M227" s="41"/>
      <c r="N227" s="41"/>
    </row>
    <row r="228" spans="1:14" x14ac:dyDescent="0.2">
      <c r="B228" s="1">
        <v>208</v>
      </c>
      <c r="C228" s="13">
        <f t="shared" si="18"/>
        <v>50801</v>
      </c>
      <c r="D228" s="46" t="str">
        <f>IF(COUNTIFS('PAYG INDICATIVE OPTIONS'!$U$4:$X$9,'Loan Repayment Input Sheet'!B228)&gt;0,0,"")</f>
        <v/>
      </c>
      <c r="E228" s="27"/>
      <c r="F228" s="10">
        <f t="shared" si="19"/>
        <v>0</v>
      </c>
      <c r="G228" s="29">
        <f t="shared" si="20"/>
        <v>0</v>
      </c>
      <c r="H228" s="12">
        <f t="shared" si="21"/>
        <v>0</v>
      </c>
      <c r="I228" s="12">
        <f t="shared" si="22"/>
        <v>0</v>
      </c>
      <c r="J228" s="29">
        <f t="shared" si="23"/>
        <v>0</v>
      </c>
      <c r="K228" s="41"/>
      <c r="L228" s="41"/>
      <c r="M228" s="41"/>
      <c r="N228" s="41"/>
    </row>
    <row r="229" spans="1:14" x14ac:dyDescent="0.2">
      <c r="B229" s="1">
        <v>209</v>
      </c>
      <c r="C229" s="13">
        <f t="shared" si="18"/>
        <v>50829</v>
      </c>
      <c r="D229" s="46" t="str">
        <f>IF(COUNTIFS('PAYG INDICATIVE OPTIONS'!$U$4:$X$9,'Loan Repayment Input Sheet'!B229)&gt;0,0,"")</f>
        <v/>
      </c>
      <c r="E229" s="27"/>
      <c r="F229" s="10">
        <f t="shared" si="19"/>
        <v>0</v>
      </c>
      <c r="G229" s="29">
        <f t="shared" si="20"/>
        <v>0</v>
      </c>
      <c r="H229" s="12">
        <f t="shared" si="21"/>
        <v>0</v>
      </c>
      <c r="I229" s="12">
        <f t="shared" si="22"/>
        <v>0</v>
      </c>
      <c r="J229" s="29">
        <f t="shared" si="23"/>
        <v>0</v>
      </c>
      <c r="K229" s="41"/>
      <c r="L229" s="41"/>
      <c r="M229" s="41"/>
      <c r="N229" s="41"/>
    </row>
    <row r="230" spans="1:14" x14ac:dyDescent="0.2">
      <c r="B230" s="1">
        <v>210</v>
      </c>
      <c r="C230" s="13">
        <f t="shared" si="18"/>
        <v>50860</v>
      </c>
      <c r="D230" s="46" t="str">
        <f>IF(COUNTIFS('PAYG INDICATIVE OPTIONS'!$U$4:$X$9,'Loan Repayment Input Sheet'!B230)&gt;0,0,"")</f>
        <v/>
      </c>
      <c r="E230" s="27"/>
      <c r="F230" s="10">
        <f t="shared" si="19"/>
        <v>0</v>
      </c>
      <c r="G230" s="29">
        <f t="shared" si="20"/>
        <v>0</v>
      </c>
      <c r="H230" s="12">
        <f t="shared" si="21"/>
        <v>0</v>
      </c>
      <c r="I230" s="12">
        <f t="shared" si="22"/>
        <v>0</v>
      </c>
      <c r="J230" s="29">
        <f t="shared" si="23"/>
        <v>0</v>
      </c>
      <c r="K230" s="41"/>
      <c r="L230" s="41"/>
      <c r="M230" s="41"/>
      <c r="N230" s="41"/>
    </row>
    <row r="231" spans="1:14" x14ac:dyDescent="0.2">
      <c r="B231" s="1">
        <v>211</v>
      </c>
      <c r="C231" s="13">
        <f t="shared" si="18"/>
        <v>50890</v>
      </c>
      <c r="D231" s="46" t="str">
        <f>IF(COUNTIFS('PAYG INDICATIVE OPTIONS'!$U$4:$X$9,'Loan Repayment Input Sheet'!B231)&gt;0,0,"")</f>
        <v/>
      </c>
      <c r="E231" s="27"/>
      <c r="F231" s="10">
        <f t="shared" si="19"/>
        <v>0</v>
      </c>
      <c r="G231" s="29">
        <f t="shared" si="20"/>
        <v>0</v>
      </c>
      <c r="H231" s="12">
        <f t="shared" si="21"/>
        <v>0</v>
      </c>
      <c r="I231" s="12">
        <f t="shared" si="22"/>
        <v>0</v>
      </c>
      <c r="J231" s="29">
        <f t="shared" si="23"/>
        <v>0</v>
      </c>
      <c r="K231" s="41"/>
      <c r="L231" s="41"/>
      <c r="M231" s="41"/>
      <c r="N231" s="41"/>
    </row>
    <row r="232" spans="1:14" x14ac:dyDescent="0.2">
      <c r="B232" s="1">
        <v>212</v>
      </c>
      <c r="C232" s="13">
        <f t="shared" si="18"/>
        <v>50921</v>
      </c>
      <c r="D232" s="46" t="str">
        <f>IF(COUNTIFS('PAYG INDICATIVE OPTIONS'!$U$4:$X$9,'Loan Repayment Input Sheet'!B232)&gt;0,0,"")</f>
        <v/>
      </c>
      <c r="E232" s="27"/>
      <c r="F232" s="10">
        <f t="shared" si="19"/>
        <v>0</v>
      </c>
      <c r="G232" s="29">
        <f t="shared" si="20"/>
        <v>0</v>
      </c>
      <c r="H232" s="12">
        <f t="shared" si="21"/>
        <v>0</v>
      </c>
      <c r="I232" s="12">
        <f t="shared" si="22"/>
        <v>0</v>
      </c>
      <c r="J232" s="29">
        <f t="shared" si="23"/>
        <v>0</v>
      </c>
      <c r="K232" s="41"/>
      <c r="L232" s="41"/>
      <c r="M232" s="41"/>
      <c r="N232" s="41"/>
    </row>
    <row r="233" spans="1:14" x14ac:dyDescent="0.2">
      <c r="B233" s="1">
        <v>213</v>
      </c>
      <c r="C233" s="13">
        <f t="shared" si="18"/>
        <v>50951</v>
      </c>
      <c r="D233" s="46" t="str">
        <f>IF(COUNTIFS('PAYG INDICATIVE OPTIONS'!$U$4:$X$9,'Loan Repayment Input Sheet'!B233)&gt;0,0,"")</f>
        <v/>
      </c>
      <c r="E233" s="27"/>
      <c r="F233" s="10">
        <f t="shared" si="19"/>
        <v>0</v>
      </c>
      <c r="G233" s="29">
        <f t="shared" si="20"/>
        <v>0</v>
      </c>
      <c r="H233" s="12">
        <f t="shared" si="21"/>
        <v>0</v>
      </c>
      <c r="I233" s="12">
        <f t="shared" si="22"/>
        <v>0</v>
      </c>
      <c r="J233" s="29">
        <f t="shared" si="23"/>
        <v>0</v>
      </c>
      <c r="K233" s="41"/>
      <c r="L233" s="41"/>
      <c r="M233" s="41"/>
      <c r="N233" s="41"/>
    </row>
    <row r="234" spans="1:14" x14ac:dyDescent="0.2">
      <c r="B234" s="1">
        <v>214</v>
      </c>
      <c r="C234" s="13">
        <f t="shared" si="18"/>
        <v>50982</v>
      </c>
      <c r="D234" s="46" t="str">
        <f>IF(COUNTIFS('PAYG INDICATIVE OPTIONS'!$U$4:$X$9,'Loan Repayment Input Sheet'!B234)&gt;0,0,"")</f>
        <v/>
      </c>
      <c r="E234" s="27"/>
      <c r="F234" s="10">
        <f t="shared" si="19"/>
        <v>0</v>
      </c>
      <c r="G234" s="29">
        <f t="shared" si="20"/>
        <v>0</v>
      </c>
      <c r="H234" s="12">
        <f t="shared" si="21"/>
        <v>0</v>
      </c>
      <c r="I234" s="12">
        <f t="shared" si="22"/>
        <v>0</v>
      </c>
      <c r="J234" s="29">
        <f t="shared" si="23"/>
        <v>0</v>
      </c>
      <c r="K234" s="41"/>
      <c r="L234" s="41"/>
      <c r="M234" s="41"/>
      <c r="N234" s="41"/>
    </row>
    <row r="235" spans="1:14" x14ac:dyDescent="0.2">
      <c r="B235" s="1">
        <v>215</v>
      </c>
      <c r="C235" s="13">
        <f t="shared" si="18"/>
        <v>51013</v>
      </c>
      <c r="D235" s="46" t="str">
        <f>IF(COUNTIFS('PAYG INDICATIVE OPTIONS'!$U$4:$X$9,'Loan Repayment Input Sheet'!B235)&gt;0,0,"")</f>
        <v/>
      </c>
      <c r="E235" s="27"/>
      <c r="F235" s="10">
        <f t="shared" si="19"/>
        <v>0</v>
      </c>
      <c r="G235" s="29">
        <f t="shared" si="20"/>
        <v>0</v>
      </c>
      <c r="H235" s="12">
        <f t="shared" si="21"/>
        <v>0</v>
      </c>
      <c r="I235" s="12">
        <f t="shared" si="22"/>
        <v>0</v>
      </c>
      <c r="J235" s="29">
        <f t="shared" si="23"/>
        <v>0</v>
      </c>
      <c r="K235" s="41"/>
      <c r="L235" s="41"/>
      <c r="M235" s="41"/>
      <c r="N235" s="41"/>
    </row>
    <row r="236" spans="1:14" x14ac:dyDescent="0.2">
      <c r="B236" s="1">
        <v>216</v>
      </c>
      <c r="C236" s="13">
        <f t="shared" si="18"/>
        <v>51043</v>
      </c>
      <c r="D236" s="46" t="str">
        <f>IF(COUNTIFS('PAYG INDICATIVE OPTIONS'!$U$4:$X$9,'Loan Repayment Input Sheet'!B236)&gt;0,0,"")</f>
        <v/>
      </c>
      <c r="E236" s="27"/>
      <c r="F236" s="10">
        <f t="shared" si="19"/>
        <v>0</v>
      </c>
      <c r="G236" s="29">
        <f t="shared" si="20"/>
        <v>0</v>
      </c>
      <c r="H236" s="12">
        <f t="shared" si="21"/>
        <v>0</v>
      </c>
      <c r="I236" s="12">
        <f t="shared" si="22"/>
        <v>0</v>
      </c>
      <c r="J236" s="29">
        <f t="shared" si="23"/>
        <v>0</v>
      </c>
      <c r="K236" s="41"/>
      <c r="L236" s="41"/>
      <c r="M236" s="41"/>
      <c r="N236" s="41"/>
    </row>
    <row r="237" spans="1:14" x14ac:dyDescent="0.2">
      <c r="A237" s="1">
        <f>IF($A$18=1,19,IF($A$18=3,""))</f>
        <v>19</v>
      </c>
      <c r="B237" s="1">
        <v>217</v>
      </c>
      <c r="C237" s="13">
        <f t="shared" si="18"/>
        <v>51074</v>
      </c>
      <c r="D237" s="46" t="str">
        <f>IF(COUNTIFS('PAYG INDICATIVE OPTIONS'!$U$4:$X$9,'Loan Repayment Input Sheet'!B237)&gt;0,0,"")</f>
        <v/>
      </c>
      <c r="E237" s="27"/>
      <c r="F237" s="10">
        <f t="shared" si="19"/>
        <v>0</v>
      </c>
      <c r="G237" s="29">
        <f t="shared" si="20"/>
        <v>0</v>
      </c>
      <c r="H237" s="12">
        <f t="shared" si="21"/>
        <v>0</v>
      </c>
      <c r="I237" s="12">
        <f t="shared" si="22"/>
        <v>0</v>
      </c>
      <c r="J237" s="29">
        <f t="shared" si="23"/>
        <v>0</v>
      </c>
      <c r="K237" s="41"/>
      <c r="L237" s="41"/>
      <c r="M237" s="41"/>
      <c r="N237" s="41"/>
    </row>
    <row r="238" spans="1:14" x14ac:dyDescent="0.2">
      <c r="B238" s="1">
        <v>218</v>
      </c>
      <c r="C238" s="13">
        <f t="shared" si="18"/>
        <v>51104</v>
      </c>
      <c r="D238" s="46" t="str">
        <f>IF(COUNTIFS('PAYG INDICATIVE OPTIONS'!$U$4:$X$9,'Loan Repayment Input Sheet'!B238)&gt;0,0,"")</f>
        <v/>
      </c>
      <c r="E238" s="27"/>
      <c r="F238" s="10">
        <f t="shared" si="19"/>
        <v>0</v>
      </c>
      <c r="G238" s="29">
        <f t="shared" si="20"/>
        <v>0</v>
      </c>
      <c r="H238" s="12">
        <f t="shared" si="21"/>
        <v>0</v>
      </c>
      <c r="I238" s="12">
        <f t="shared" si="22"/>
        <v>0</v>
      </c>
      <c r="J238" s="29">
        <f t="shared" si="23"/>
        <v>0</v>
      </c>
      <c r="K238" s="41"/>
      <c r="L238" s="41"/>
      <c r="M238" s="41"/>
      <c r="N238" s="41"/>
    </row>
    <row r="239" spans="1:14" x14ac:dyDescent="0.2">
      <c r="B239" s="1">
        <v>219</v>
      </c>
      <c r="C239" s="13">
        <f t="shared" si="18"/>
        <v>51135</v>
      </c>
      <c r="D239" s="46" t="str">
        <f>IF(COUNTIFS('PAYG INDICATIVE OPTIONS'!$U$4:$X$9,'Loan Repayment Input Sheet'!B239)&gt;0,0,"")</f>
        <v/>
      </c>
      <c r="E239" s="27"/>
      <c r="F239" s="10">
        <f t="shared" si="19"/>
        <v>0</v>
      </c>
      <c r="G239" s="29">
        <f t="shared" si="20"/>
        <v>0</v>
      </c>
      <c r="H239" s="12">
        <f t="shared" si="21"/>
        <v>0</v>
      </c>
      <c r="I239" s="12">
        <f t="shared" si="22"/>
        <v>0</v>
      </c>
      <c r="J239" s="29">
        <f t="shared" si="23"/>
        <v>0</v>
      </c>
      <c r="K239" s="41"/>
      <c r="L239" s="41"/>
      <c r="M239" s="41"/>
      <c r="N239" s="41"/>
    </row>
    <row r="240" spans="1:14" x14ac:dyDescent="0.2">
      <c r="B240" s="1">
        <v>220</v>
      </c>
      <c r="C240" s="13">
        <f t="shared" si="18"/>
        <v>51166</v>
      </c>
      <c r="D240" s="46" t="str">
        <f>IF(COUNTIFS('PAYG INDICATIVE OPTIONS'!$U$4:$X$9,'Loan Repayment Input Sheet'!B240)&gt;0,0,"")</f>
        <v/>
      </c>
      <c r="E240" s="27"/>
      <c r="F240" s="10">
        <f t="shared" si="19"/>
        <v>0</v>
      </c>
      <c r="G240" s="29">
        <f t="shared" si="20"/>
        <v>0</v>
      </c>
      <c r="H240" s="12">
        <f t="shared" si="21"/>
        <v>0</v>
      </c>
      <c r="I240" s="12">
        <f t="shared" si="22"/>
        <v>0</v>
      </c>
      <c r="J240" s="29">
        <f t="shared" si="23"/>
        <v>0</v>
      </c>
      <c r="K240" s="41"/>
      <c r="L240" s="41"/>
      <c r="M240" s="41"/>
      <c r="N240" s="41"/>
    </row>
    <row r="241" spans="1:14" x14ac:dyDescent="0.2">
      <c r="B241" s="1">
        <v>221</v>
      </c>
      <c r="C241" s="13">
        <f t="shared" si="18"/>
        <v>51195</v>
      </c>
      <c r="D241" s="46" t="str">
        <f>IF(COUNTIFS('PAYG INDICATIVE OPTIONS'!$U$4:$X$9,'Loan Repayment Input Sheet'!B241)&gt;0,0,"")</f>
        <v/>
      </c>
      <c r="E241" s="27"/>
      <c r="F241" s="10">
        <f t="shared" si="19"/>
        <v>0</v>
      </c>
      <c r="G241" s="29">
        <f t="shared" si="20"/>
        <v>0</v>
      </c>
      <c r="H241" s="12">
        <f t="shared" si="21"/>
        <v>0</v>
      </c>
      <c r="I241" s="12">
        <f t="shared" si="22"/>
        <v>0</v>
      </c>
      <c r="J241" s="29">
        <f t="shared" si="23"/>
        <v>0</v>
      </c>
      <c r="K241" s="41"/>
      <c r="L241" s="41"/>
      <c r="M241" s="41"/>
      <c r="N241" s="41"/>
    </row>
    <row r="242" spans="1:14" x14ac:dyDescent="0.2">
      <c r="B242" s="1">
        <v>222</v>
      </c>
      <c r="C242" s="13">
        <f t="shared" si="18"/>
        <v>51226</v>
      </c>
      <c r="D242" s="46" t="str">
        <f>IF(COUNTIFS('PAYG INDICATIVE OPTIONS'!$U$4:$X$9,'Loan Repayment Input Sheet'!B242)&gt;0,0,"")</f>
        <v/>
      </c>
      <c r="E242" s="27"/>
      <c r="F242" s="10">
        <f t="shared" si="19"/>
        <v>0</v>
      </c>
      <c r="G242" s="29">
        <f t="shared" si="20"/>
        <v>0</v>
      </c>
      <c r="H242" s="12">
        <f t="shared" si="21"/>
        <v>0</v>
      </c>
      <c r="I242" s="12">
        <f t="shared" si="22"/>
        <v>0</v>
      </c>
      <c r="J242" s="29">
        <f t="shared" si="23"/>
        <v>0</v>
      </c>
      <c r="K242" s="41"/>
      <c r="L242" s="41"/>
      <c r="M242" s="41"/>
      <c r="N242" s="41"/>
    </row>
    <row r="243" spans="1:14" x14ac:dyDescent="0.2">
      <c r="B243" s="1">
        <v>223</v>
      </c>
      <c r="C243" s="13">
        <f t="shared" si="18"/>
        <v>51256</v>
      </c>
      <c r="D243" s="46" t="str">
        <f>IF(COUNTIFS('PAYG INDICATIVE OPTIONS'!$U$4:$X$9,'Loan Repayment Input Sheet'!B243)&gt;0,0,"")</f>
        <v/>
      </c>
      <c r="E243" s="27"/>
      <c r="F243" s="10">
        <f t="shared" si="19"/>
        <v>0</v>
      </c>
      <c r="G243" s="29">
        <f t="shared" si="20"/>
        <v>0</v>
      </c>
      <c r="H243" s="12">
        <f t="shared" si="21"/>
        <v>0</v>
      </c>
      <c r="I243" s="12">
        <f t="shared" si="22"/>
        <v>0</v>
      </c>
      <c r="J243" s="29">
        <f t="shared" si="23"/>
        <v>0</v>
      </c>
      <c r="K243" s="41"/>
      <c r="L243" s="41"/>
      <c r="M243" s="41"/>
      <c r="N243" s="41"/>
    </row>
    <row r="244" spans="1:14" x14ac:dyDescent="0.2">
      <c r="B244" s="1">
        <v>224</v>
      </c>
      <c r="C244" s="13">
        <f t="shared" si="18"/>
        <v>51287</v>
      </c>
      <c r="D244" s="46" t="str">
        <f>IF(COUNTIFS('PAYG INDICATIVE OPTIONS'!$U$4:$X$9,'Loan Repayment Input Sheet'!B244)&gt;0,0,"")</f>
        <v/>
      </c>
      <c r="E244" s="27"/>
      <c r="F244" s="10">
        <f t="shared" si="19"/>
        <v>0</v>
      </c>
      <c r="G244" s="29">
        <f t="shared" si="20"/>
        <v>0</v>
      </c>
      <c r="H244" s="12">
        <f t="shared" si="21"/>
        <v>0</v>
      </c>
      <c r="I244" s="12">
        <f t="shared" si="22"/>
        <v>0</v>
      </c>
      <c r="J244" s="29">
        <f t="shared" si="23"/>
        <v>0</v>
      </c>
      <c r="K244" s="41"/>
      <c r="L244" s="41"/>
      <c r="M244" s="41"/>
      <c r="N244" s="41"/>
    </row>
    <row r="245" spans="1:14" x14ac:dyDescent="0.2">
      <c r="B245" s="1">
        <v>225</v>
      </c>
      <c r="C245" s="13">
        <f t="shared" si="18"/>
        <v>51317</v>
      </c>
      <c r="D245" s="46" t="str">
        <f>IF(COUNTIFS('PAYG INDICATIVE OPTIONS'!$U$4:$X$9,'Loan Repayment Input Sheet'!B245)&gt;0,0,"")</f>
        <v/>
      </c>
      <c r="E245" s="27"/>
      <c r="F245" s="10">
        <f t="shared" si="19"/>
        <v>0</v>
      </c>
      <c r="G245" s="29">
        <f t="shared" si="20"/>
        <v>0</v>
      </c>
      <c r="H245" s="12">
        <f t="shared" si="21"/>
        <v>0</v>
      </c>
      <c r="I245" s="12">
        <f t="shared" si="22"/>
        <v>0</v>
      </c>
      <c r="J245" s="29">
        <f t="shared" si="23"/>
        <v>0</v>
      </c>
      <c r="K245" s="41"/>
      <c r="L245" s="41"/>
      <c r="M245" s="41"/>
      <c r="N245" s="41"/>
    </row>
    <row r="246" spans="1:14" x14ac:dyDescent="0.2">
      <c r="B246" s="1">
        <v>226</v>
      </c>
      <c r="C246" s="13">
        <f t="shared" si="18"/>
        <v>51348</v>
      </c>
      <c r="D246" s="46" t="str">
        <f>IF(COUNTIFS('PAYG INDICATIVE OPTIONS'!$U$4:$X$9,'Loan Repayment Input Sheet'!B246)&gt;0,0,"")</f>
        <v/>
      </c>
      <c r="E246" s="27"/>
      <c r="F246" s="10">
        <f t="shared" si="19"/>
        <v>0</v>
      </c>
      <c r="G246" s="29">
        <f t="shared" si="20"/>
        <v>0</v>
      </c>
      <c r="H246" s="12">
        <f t="shared" si="21"/>
        <v>0</v>
      </c>
      <c r="I246" s="12">
        <f t="shared" si="22"/>
        <v>0</v>
      </c>
      <c r="J246" s="29">
        <f t="shared" si="23"/>
        <v>0</v>
      </c>
      <c r="K246" s="41"/>
      <c r="L246" s="41"/>
      <c r="M246" s="41"/>
      <c r="N246" s="41"/>
    </row>
    <row r="247" spans="1:14" x14ac:dyDescent="0.2">
      <c r="B247" s="1">
        <v>227</v>
      </c>
      <c r="C247" s="13">
        <f t="shared" si="18"/>
        <v>51379</v>
      </c>
      <c r="D247" s="46" t="str">
        <f>IF(COUNTIFS('PAYG INDICATIVE OPTIONS'!$U$4:$X$9,'Loan Repayment Input Sheet'!B247)&gt;0,0,"")</f>
        <v/>
      </c>
      <c r="E247" s="27"/>
      <c r="F247" s="10">
        <f t="shared" si="19"/>
        <v>0</v>
      </c>
      <c r="G247" s="29">
        <f t="shared" si="20"/>
        <v>0</v>
      </c>
      <c r="H247" s="12">
        <f t="shared" si="21"/>
        <v>0</v>
      </c>
      <c r="I247" s="12">
        <f t="shared" si="22"/>
        <v>0</v>
      </c>
      <c r="J247" s="29">
        <f t="shared" si="23"/>
        <v>0</v>
      </c>
      <c r="K247" s="41"/>
      <c r="L247" s="41"/>
      <c r="M247" s="41"/>
      <c r="N247" s="41"/>
    </row>
    <row r="248" spans="1:14" x14ac:dyDescent="0.2">
      <c r="B248" s="1">
        <v>228</v>
      </c>
      <c r="C248" s="13">
        <f t="shared" si="18"/>
        <v>51409</v>
      </c>
      <c r="D248" s="46" t="str">
        <f>IF(COUNTIFS('PAYG INDICATIVE OPTIONS'!$U$4:$X$9,'Loan Repayment Input Sheet'!B248)&gt;0,0,"")</f>
        <v/>
      </c>
      <c r="E248" s="27"/>
      <c r="F248" s="10">
        <f t="shared" si="19"/>
        <v>0</v>
      </c>
      <c r="G248" s="29">
        <f t="shared" si="20"/>
        <v>0</v>
      </c>
      <c r="H248" s="12">
        <f t="shared" si="21"/>
        <v>0</v>
      </c>
      <c r="I248" s="12">
        <f t="shared" si="22"/>
        <v>0</v>
      </c>
      <c r="J248" s="29">
        <f t="shared" si="23"/>
        <v>0</v>
      </c>
      <c r="K248" s="41"/>
      <c r="L248" s="41"/>
      <c r="M248" s="41"/>
      <c r="N248" s="41"/>
    </row>
    <row r="249" spans="1:14" x14ac:dyDescent="0.2">
      <c r="A249" s="1">
        <f>IF($A$18=1,20,IF($A$18=3,""))</f>
        <v>20</v>
      </c>
      <c r="B249" s="1">
        <v>229</v>
      </c>
      <c r="C249" s="13">
        <f t="shared" si="18"/>
        <v>51440</v>
      </c>
      <c r="D249" s="46" t="str">
        <f>IF(COUNTIFS('PAYG INDICATIVE OPTIONS'!$U$4:$X$9,'Loan Repayment Input Sheet'!B249)&gt;0,0,"")</f>
        <v/>
      </c>
      <c r="E249" s="27"/>
      <c r="F249" s="10">
        <f t="shared" si="19"/>
        <v>0</v>
      </c>
      <c r="G249" s="29">
        <f t="shared" si="20"/>
        <v>0</v>
      </c>
      <c r="H249" s="12">
        <f t="shared" si="21"/>
        <v>0</v>
      </c>
      <c r="I249" s="12">
        <f t="shared" si="22"/>
        <v>0</v>
      </c>
      <c r="J249" s="29">
        <f t="shared" si="23"/>
        <v>0</v>
      </c>
      <c r="K249" s="41"/>
      <c r="L249" s="41"/>
      <c r="M249" s="41"/>
      <c r="N249" s="41"/>
    </row>
    <row r="250" spans="1:14" x14ac:dyDescent="0.2">
      <c r="B250" s="1">
        <v>230</v>
      </c>
      <c r="C250" s="13">
        <f t="shared" si="18"/>
        <v>51470</v>
      </c>
      <c r="D250" s="46" t="str">
        <f>IF(COUNTIFS('PAYG INDICATIVE OPTIONS'!$U$4:$X$9,'Loan Repayment Input Sheet'!B250)&gt;0,0,"")</f>
        <v/>
      </c>
      <c r="E250" s="27"/>
      <c r="F250" s="10">
        <f t="shared" si="19"/>
        <v>0</v>
      </c>
      <c r="G250" s="29">
        <f t="shared" si="20"/>
        <v>0</v>
      </c>
      <c r="H250" s="12">
        <f t="shared" si="21"/>
        <v>0</v>
      </c>
      <c r="I250" s="12">
        <f t="shared" si="22"/>
        <v>0</v>
      </c>
      <c r="J250" s="29">
        <f t="shared" si="23"/>
        <v>0</v>
      </c>
      <c r="K250" s="41"/>
      <c r="L250" s="41"/>
      <c r="M250" s="41"/>
      <c r="N250" s="41"/>
    </row>
    <row r="251" spans="1:14" x14ac:dyDescent="0.2">
      <c r="B251" s="1">
        <v>231</v>
      </c>
      <c r="C251" s="13">
        <f t="shared" si="18"/>
        <v>51501</v>
      </c>
      <c r="D251" s="46" t="str">
        <f>IF(COUNTIFS('PAYG INDICATIVE OPTIONS'!$U$4:$X$9,'Loan Repayment Input Sheet'!B251)&gt;0,0,"")</f>
        <v/>
      </c>
      <c r="E251" s="27"/>
      <c r="F251" s="10">
        <f t="shared" si="19"/>
        <v>0</v>
      </c>
      <c r="G251" s="29">
        <f t="shared" si="20"/>
        <v>0</v>
      </c>
      <c r="H251" s="12">
        <f t="shared" si="21"/>
        <v>0</v>
      </c>
      <c r="I251" s="12">
        <f t="shared" si="22"/>
        <v>0</v>
      </c>
      <c r="J251" s="29">
        <f t="shared" si="23"/>
        <v>0</v>
      </c>
      <c r="K251" s="41"/>
      <c r="L251" s="41"/>
      <c r="M251" s="41"/>
      <c r="N251" s="41"/>
    </row>
    <row r="252" spans="1:14" x14ac:dyDescent="0.2">
      <c r="B252" s="1">
        <v>232</v>
      </c>
      <c r="C252" s="13">
        <f t="shared" si="18"/>
        <v>51532</v>
      </c>
      <c r="D252" s="46" t="str">
        <f>IF(COUNTIFS('PAYG INDICATIVE OPTIONS'!$U$4:$X$9,'Loan Repayment Input Sheet'!B252)&gt;0,0,"")</f>
        <v/>
      </c>
      <c r="E252" s="27"/>
      <c r="F252" s="10">
        <f t="shared" si="19"/>
        <v>0</v>
      </c>
      <c r="G252" s="29">
        <f t="shared" si="20"/>
        <v>0</v>
      </c>
      <c r="H252" s="12">
        <f t="shared" si="21"/>
        <v>0</v>
      </c>
      <c r="I252" s="12">
        <f t="shared" si="22"/>
        <v>0</v>
      </c>
      <c r="J252" s="29">
        <f t="shared" si="23"/>
        <v>0</v>
      </c>
      <c r="K252" s="41"/>
      <c r="L252" s="41"/>
      <c r="M252" s="41"/>
      <c r="N252" s="41"/>
    </row>
    <row r="253" spans="1:14" x14ac:dyDescent="0.2">
      <c r="B253" s="1">
        <v>233</v>
      </c>
      <c r="C253" s="13">
        <f t="shared" si="18"/>
        <v>51560</v>
      </c>
      <c r="D253" s="46" t="str">
        <f>IF(COUNTIFS('PAYG INDICATIVE OPTIONS'!$U$4:$X$9,'Loan Repayment Input Sheet'!B253)&gt;0,0,"")</f>
        <v/>
      </c>
      <c r="E253" s="27"/>
      <c r="F253" s="10">
        <f t="shared" si="19"/>
        <v>0</v>
      </c>
      <c r="G253" s="29">
        <f t="shared" si="20"/>
        <v>0</v>
      </c>
      <c r="H253" s="12">
        <f t="shared" si="21"/>
        <v>0</v>
      </c>
      <c r="I253" s="12">
        <f t="shared" si="22"/>
        <v>0</v>
      </c>
      <c r="J253" s="29">
        <f t="shared" si="23"/>
        <v>0</v>
      </c>
      <c r="K253" s="41"/>
      <c r="L253" s="41"/>
      <c r="M253" s="41"/>
      <c r="N253" s="41"/>
    </row>
    <row r="254" spans="1:14" x14ac:dyDescent="0.2">
      <c r="B254" s="1">
        <v>234</v>
      </c>
      <c r="C254" s="13">
        <f t="shared" si="18"/>
        <v>51591</v>
      </c>
      <c r="D254" s="46" t="str">
        <f>IF(COUNTIFS('PAYG INDICATIVE OPTIONS'!$U$4:$X$9,'Loan Repayment Input Sheet'!B254)&gt;0,0,"")</f>
        <v/>
      </c>
      <c r="E254" s="27"/>
      <c r="F254" s="10">
        <f t="shared" si="19"/>
        <v>0</v>
      </c>
      <c r="G254" s="29">
        <f t="shared" si="20"/>
        <v>0</v>
      </c>
      <c r="H254" s="12">
        <f t="shared" si="21"/>
        <v>0</v>
      </c>
      <c r="I254" s="12">
        <f t="shared" si="22"/>
        <v>0</v>
      </c>
      <c r="J254" s="29">
        <f t="shared" si="23"/>
        <v>0</v>
      </c>
      <c r="K254" s="41"/>
      <c r="L254" s="41"/>
      <c r="M254" s="41"/>
      <c r="N254" s="41"/>
    </row>
    <row r="255" spans="1:14" x14ac:dyDescent="0.2">
      <c r="B255" s="1">
        <v>235</v>
      </c>
      <c r="C255" s="13">
        <f t="shared" si="18"/>
        <v>51621</v>
      </c>
      <c r="D255" s="46" t="str">
        <f>IF(COUNTIFS('PAYG INDICATIVE OPTIONS'!$U$4:$X$9,'Loan Repayment Input Sheet'!B255)&gt;0,0,"")</f>
        <v/>
      </c>
      <c r="E255" s="27"/>
      <c r="F255" s="10">
        <f t="shared" si="19"/>
        <v>0</v>
      </c>
      <c r="G255" s="29">
        <f t="shared" si="20"/>
        <v>0</v>
      </c>
      <c r="H255" s="12">
        <f t="shared" si="21"/>
        <v>0</v>
      </c>
      <c r="I255" s="12">
        <f t="shared" si="22"/>
        <v>0</v>
      </c>
      <c r="J255" s="29">
        <f t="shared" si="23"/>
        <v>0</v>
      </c>
      <c r="K255" s="41"/>
      <c r="L255" s="41"/>
      <c r="M255" s="41"/>
      <c r="N255" s="41"/>
    </row>
    <row r="256" spans="1:14" x14ac:dyDescent="0.2">
      <c r="B256" s="1">
        <v>236</v>
      </c>
      <c r="C256" s="13">
        <f t="shared" si="18"/>
        <v>51652</v>
      </c>
      <c r="D256" s="46" t="str">
        <f>IF(COUNTIFS('PAYG INDICATIVE OPTIONS'!$U$4:$X$9,'Loan Repayment Input Sheet'!B256)&gt;0,0,"")</f>
        <v/>
      </c>
      <c r="E256" s="27"/>
      <c r="F256" s="10">
        <f t="shared" si="19"/>
        <v>0</v>
      </c>
      <c r="G256" s="29">
        <f t="shared" si="20"/>
        <v>0</v>
      </c>
      <c r="H256" s="12">
        <f t="shared" si="21"/>
        <v>0</v>
      </c>
      <c r="I256" s="12">
        <f t="shared" si="22"/>
        <v>0</v>
      </c>
      <c r="J256" s="29">
        <f t="shared" si="23"/>
        <v>0</v>
      </c>
      <c r="K256" s="41"/>
      <c r="L256" s="41"/>
      <c r="M256" s="41"/>
      <c r="N256" s="41"/>
    </row>
    <row r="257" spans="1:14" x14ac:dyDescent="0.2">
      <c r="B257" s="1">
        <v>237</v>
      </c>
      <c r="C257" s="13">
        <f t="shared" si="18"/>
        <v>51682</v>
      </c>
      <c r="D257" s="46" t="str">
        <f>IF(COUNTIFS('PAYG INDICATIVE OPTIONS'!$U$4:$X$9,'Loan Repayment Input Sheet'!B257)&gt;0,0,"")</f>
        <v/>
      </c>
      <c r="E257" s="27"/>
      <c r="F257" s="10">
        <f t="shared" si="19"/>
        <v>0</v>
      </c>
      <c r="G257" s="29">
        <f t="shared" si="20"/>
        <v>0</v>
      </c>
      <c r="H257" s="12">
        <f t="shared" si="21"/>
        <v>0</v>
      </c>
      <c r="I257" s="12">
        <f t="shared" si="22"/>
        <v>0</v>
      </c>
      <c r="J257" s="29">
        <f t="shared" si="23"/>
        <v>0</v>
      </c>
      <c r="K257" s="41"/>
      <c r="L257" s="41"/>
      <c r="M257" s="41"/>
      <c r="N257" s="41"/>
    </row>
    <row r="258" spans="1:14" x14ac:dyDescent="0.2">
      <c r="B258" s="1">
        <v>238</v>
      </c>
      <c r="C258" s="13">
        <f t="shared" si="18"/>
        <v>51713</v>
      </c>
      <c r="D258" s="46" t="str">
        <f>IF(COUNTIFS('PAYG INDICATIVE OPTIONS'!$U$4:$X$9,'Loan Repayment Input Sheet'!B258)&gt;0,0,"")</f>
        <v/>
      </c>
      <c r="E258" s="27"/>
      <c r="F258" s="10">
        <f t="shared" si="19"/>
        <v>0</v>
      </c>
      <c r="G258" s="29">
        <f t="shared" si="20"/>
        <v>0</v>
      </c>
      <c r="H258" s="12">
        <f t="shared" si="21"/>
        <v>0</v>
      </c>
      <c r="I258" s="12">
        <f t="shared" si="22"/>
        <v>0</v>
      </c>
      <c r="J258" s="29">
        <f t="shared" si="23"/>
        <v>0</v>
      </c>
      <c r="K258" s="41"/>
      <c r="L258" s="41"/>
      <c r="M258" s="41"/>
      <c r="N258" s="41"/>
    </row>
    <row r="259" spans="1:14" x14ac:dyDescent="0.2">
      <c r="B259" s="1">
        <v>239</v>
      </c>
      <c r="C259" s="13">
        <f t="shared" si="18"/>
        <v>51744</v>
      </c>
      <c r="D259" s="46" t="str">
        <f>IF(COUNTIFS('PAYG INDICATIVE OPTIONS'!$U$4:$X$9,'Loan Repayment Input Sheet'!B259)&gt;0,0,"")</f>
        <v/>
      </c>
      <c r="E259" s="27"/>
      <c r="F259" s="10">
        <f t="shared" si="19"/>
        <v>0</v>
      </c>
      <c r="G259" s="29">
        <f t="shared" si="20"/>
        <v>0</v>
      </c>
      <c r="H259" s="12">
        <f t="shared" si="21"/>
        <v>0</v>
      </c>
      <c r="I259" s="12">
        <f t="shared" si="22"/>
        <v>0</v>
      </c>
      <c r="J259" s="29">
        <f t="shared" si="23"/>
        <v>0</v>
      </c>
      <c r="K259" s="41"/>
      <c r="L259" s="41"/>
      <c r="M259" s="41"/>
      <c r="N259" s="41"/>
    </row>
    <row r="260" spans="1:14" x14ac:dyDescent="0.2">
      <c r="B260" s="1">
        <v>240</v>
      </c>
      <c r="C260" s="13">
        <f t="shared" si="18"/>
        <v>51774</v>
      </c>
      <c r="D260" s="46" t="str">
        <f>IF(COUNTIFS('PAYG INDICATIVE OPTIONS'!$U$4:$X$9,'Loan Repayment Input Sheet'!B260)&gt;0,0,"")</f>
        <v/>
      </c>
      <c r="E260" s="27"/>
      <c r="F260" s="10">
        <f t="shared" si="19"/>
        <v>0</v>
      </c>
      <c r="G260" s="29">
        <f t="shared" si="20"/>
        <v>0</v>
      </c>
      <c r="H260" s="12">
        <f t="shared" si="21"/>
        <v>0</v>
      </c>
      <c r="I260" s="12">
        <f t="shared" si="22"/>
        <v>0</v>
      </c>
      <c r="J260" s="29">
        <f t="shared" si="23"/>
        <v>0</v>
      </c>
      <c r="K260" s="41"/>
      <c r="L260" s="41"/>
      <c r="M260" s="41"/>
      <c r="N260" s="41"/>
    </row>
    <row r="261" spans="1:14" x14ac:dyDescent="0.2">
      <c r="A261" s="1">
        <f>IF($A$18=1,21,IF($A$18=3,""))</f>
        <v>21</v>
      </c>
      <c r="B261" s="1">
        <v>241</v>
      </c>
      <c r="C261" s="13">
        <f t="shared" si="18"/>
        <v>51805</v>
      </c>
      <c r="D261" s="46" t="str">
        <f>IF(COUNTIFS('PAYG INDICATIVE OPTIONS'!$U$4:$X$9,'Loan Repayment Input Sheet'!B261)&gt;0,0,"")</f>
        <v/>
      </c>
      <c r="E261" s="27"/>
      <c r="F261" s="10">
        <f t="shared" si="19"/>
        <v>0</v>
      </c>
      <c r="G261" s="29">
        <f t="shared" si="20"/>
        <v>0</v>
      </c>
      <c r="H261" s="12">
        <f t="shared" si="21"/>
        <v>0</v>
      </c>
      <c r="I261" s="12">
        <f t="shared" si="22"/>
        <v>0</v>
      </c>
      <c r="J261" s="29">
        <f t="shared" si="23"/>
        <v>0</v>
      </c>
      <c r="K261" s="41"/>
      <c r="L261" s="41"/>
      <c r="M261" s="41"/>
      <c r="N261" s="41"/>
    </row>
    <row r="262" spans="1:14" x14ac:dyDescent="0.2">
      <c r="B262" s="1">
        <v>242</v>
      </c>
      <c r="C262" s="13">
        <f t="shared" si="18"/>
        <v>51835</v>
      </c>
      <c r="D262" s="46" t="str">
        <f>IF(COUNTIFS('PAYG INDICATIVE OPTIONS'!$U$4:$X$9,'Loan Repayment Input Sheet'!B262)&gt;0,0,"")</f>
        <v/>
      </c>
      <c r="E262" s="27"/>
      <c r="F262" s="10">
        <f t="shared" si="19"/>
        <v>0</v>
      </c>
      <c r="G262" s="29">
        <f t="shared" si="20"/>
        <v>0</v>
      </c>
      <c r="H262" s="12">
        <f t="shared" si="21"/>
        <v>0</v>
      </c>
      <c r="I262" s="12">
        <f t="shared" si="22"/>
        <v>0</v>
      </c>
      <c r="J262" s="29">
        <f t="shared" si="23"/>
        <v>0</v>
      </c>
      <c r="K262" s="41"/>
      <c r="L262" s="41"/>
      <c r="M262" s="41"/>
      <c r="N262" s="41"/>
    </row>
    <row r="263" spans="1:14" x14ac:dyDescent="0.2">
      <c r="B263" s="1">
        <v>243</v>
      </c>
      <c r="C263" s="13">
        <f t="shared" si="18"/>
        <v>51866</v>
      </c>
      <c r="D263" s="46" t="str">
        <f>IF(COUNTIFS('PAYG INDICATIVE OPTIONS'!$U$4:$X$9,'Loan Repayment Input Sheet'!B263)&gt;0,0,"")</f>
        <v/>
      </c>
      <c r="E263" s="27"/>
      <c r="F263" s="10">
        <f t="shared" si="19"/>
        <v>0</v>
      </c>
      <c r="G263" s="29">
        <f t="shared" si="20"/>
        <v>0</v>
      </c>
      <c r="H263" s="12">
        <f t="shared" si="21"/>
        <v>0</v>
      </c>
      <c r="I263" s="12">
        <f t="shared" si="22"/>
        <v>0</v>
      </c>
      <c r="J263" s="29">
        <f t="shared" si="23"/>
        <v>0</v>
      </c>
      <c r="K263" s="41"/>
      <c r="L263" s="41"/>
      <c r="M263" s="41"/>
      <c r="N263" s="41"/>
    </row>
    <row r="264" spans="1:14" x14ac:dyDescent="0.2">
      <c r="B264" s="1">
        <v>244</v>
      </c>
      <c r="C264" s="13">
        <f t="shared" si="18"/>
        <v>51897</v>
      </c>
      <c r="D264" s="46" t="str">
        <f>IF(COUNTIFS('PAYG INDICATIVE OPTIONS'!$U$4:$X$9,'Loan Repayment Input Sheet'!B264)&gt;0,0,"")</f>
        <v/>
      </c>
      <c r="E264" s="27"/>
      <c r="F264" s="10">
        <f t="shared" si="19"/>
        <v>0</v>
      </c>
      <c r="G264" s="29">
        <f t="shared" si="20"/>
        <v>0</v>
      </c>
      <c r="H264" s="12">
        <f t="shared" si="21"/>
        <v>0</v>
      </c>
      <c r="I264" s="12">
        <f t="shared" si="22"/>
        <v>0</v>
      </c>
      <c r="J264" s="29">
        <f t="shared" si="23"/>
        <v>0</v>
      </c>
      <c r="K264" s="41"/>
      <c r="L264" s="41"/>
      <c r="M264" s="41"/>
      <c r="N264" s="41"/>
    </row>
    <row r="265" spans="1:14" x14ac:dyDescent="0.2">
      <c r="B265" s="1">
        <v>245</v>
      </c>
      <c r="C265" s="13">
        <f t="shared" si="18"/>
        <v>51925</v>
      </c>
      <c r="D265" s="46" t="str">
        <f>IF(COUNTIFS('PAYG INDICATIVE OPTIONS'!$U$4:$X$9,'Loan Repayment Input Sheet'!B265)&gt;0,0,"")</f>
        <v/>
      </c>
      <c r="E265" s="27"/>
      <c r="F265" s="10">
        <f t="shared" si="19"/>
        <v>0</v>
      </c>
      <c r="G265" s="29">
        <f t="shared" si="20"/>
        <v>0</v>
      </c>
      <c r="H265" s="12">
        <f t="shared" si="21"/>
        <v>0</v>
      </c>
      <c r="I265" s="12">
        <f t="shared" si="22"/>
        <v>0</v>
      </c>
      <c r="J265" s="29">
        <f t="shared" si="23"/>
        <v>0</v>
      </c>
      <c r="K265" s="41"/>
      <c r="L265" s="41"/>
      <c r="M265" s="41"/>
      <c r="N265" s="41"/>
    </row>
    <row r="266" spans="1:14" x14ac:dyDescent="0.2">
      <c r="B266" s="1">
        <v>246</v>
      </c>
      <c r="C266" s="13">
        <f t="shared" si="18"/>
        <v>51956</v>
      </c>
      <c r="D266" s="46" t="str">
        <f>IF(COUNTIFS('PAYG INDICATIVE OPTIONS'!$U$4:$X$9,'Loan Repayment Input Sheet'!B266)&gt;0,0,"")</f>
        <v/>
      </c>
      <c r="E266" s="27"/>
      <c r="F266" s="10">
        <f t="shared" si="19"/>
        <v>0</v>
      </c>
      <c r="G266" s="29">
        <f t="shared" si="20"/>
        <v>0</v>
      </c>
      <c r="H266" s="12">
        <f t="shared" si="21"/>
        <v>0</v>
      </c>
      <c r="I266" s="12">
        <f t="shared" si="22"/>
        <v>0</v>
      </c>
      <c r="J266" s="29">
        <f t="shared" si="23"/>
        <v>0</v>
      </c>
      <c r="K266" s="41"/>
      <c r="L266" s="41"/>
      <c r="M266" s="41"/>
      <c r="N266" s="41"/>
    </row>
    <row r="267" spans="1:14" x14ac:dyDescent="0.2">
      <c r="B267" s="1">
        <v>247</v>
      </c>
      <c r="C267" s="13">
        <f t="shared" si="18"/>
        <v>51986</v>
      </c>
      <c r="D267" s="46" t="str">
        <f>IF(COUNTIFS('PAYG INDICATIVE OPTIONS'!$U$4:$X$9,'Loan Repayment Input Sheet'!B267)&gt;0,0,"")</f>
        <v/>
      </c>
      <c r="E267" s="27"/>
      <c r="F267" s="10">
        <f t="shared" si="19"/>
        <v>0</v>
      </c>
      <c r="G267" s="29">
        <f t="shared" si="20"/>
        <v>0</v>
      </c>
      <c r="H267" s="12">
        <f t="shared" si="21"/>
        <v>0</v>
      </c>
      <c r="I267" s="12">
        <f t="shared" si="22"/>
        <v>0</v>
      </c>
      <c r="J267" s="29">
        <f t="shared" si="23"/>
        <v>0</v>
      </c>
      <c r="K267" s="41"/>
      <c r="L267" s="41"/>
      <c r="M267" s="41"/>
      <c r="N267" s="41"/>
    </row>
    <row r="268" spans="1:14" x14ac:dyDescent="0.2">
      <c r="B268" s="1">
        <v>248</v>
      </c>
      <c r="C268" s="13">
        <f t="shared" si="18"/>
        <v>52017</v>
      </c>
      <c r="D268" s="46" t="str">
        <f>IF(COUNTIFS('PAYG INDICATIVE OPTIONS'!$U$4:$X$9,'Loan Repayment Input Sheet'!B268)&gt;0,0,"")</f>
        <v/>
      </c>
      <c r="E268" s="27"/>
      <c r="F268" s="10">
        <f t="shared" si="19"/>
        <v>0</v>
      </c>
      <c r="G268" s="29">
        <f t="shared" si="20"/>
        <v>0</v>
      </c>
      <c r="H268" s="12">
        <f t="shared" si="21"/>
        <v>0</v>
      </c>
      <c r="I268" s="12">
        <f t="shared" si="22"/>
        <v>0</v>
      </c>
      <c r="J268" s="29">
        <f t="shared" si="23"/>
        <v>0</v>
      </c>
      <c r="K268" s="41"/>
      <c r="L268" s="41"/>
      <c r="M268" s="41"/>
      <c r="N268" s="41"/>
    </row>
    <row r="269" spans="1:14" x14ac:dyDescent="0.2">
      <c r="B269" s="1">
        <v>249</v>
      </c>
      <c r="C269" s="13">
        <f t="shared" si="18"/>
        <v>52047</v>
      </c>
      <c r="D269" s="46" t="str">
        <f>IF(COUNTIFS('PAYG INDICATIVE OPTIONS'!$U$4:$X$9,'Loan Repayment Input Sheet'!B269)&gt;0,0,"")</f>
        <v/>
      </c>
      <c r="E269" s="27"/>
      <c r="F269" s="10">
        <f t="shared" si="19"/>
        <v>0</v>
      </c>
      <c r="G269" s="29">
        <f t="shared" si="20"/>
        <v>0</v>
      </c>
      <c r="H269" s="12">
        <f t="shared" si="21"/>
        <v>0</v>
      </c>
      <c r="I269" s="12">
        <f t="shared" si="22"/>
        <v>0</v>
      </c>
      <c r="J269" s="29">
        <f t="shared" si="23"/>
        <v>0</v>
      </c>
      <c r="K269" s="41"/>
      <c r="L269" s="41"/>
      <c r="M269" s="41"/>
      <c r="N269" s="41"/>
    </row>
    <row r="270" spans="1:14" x14ac:dyDescent="0.2">
      <c r="B270" s="1">
        <v>250</v>
      </c>
      <c r="C270" s="13">
        <f t="shared" si="18"/>
        <v>52078</v>
      </c>
      <c r="D270" s="46" t="str">
        <f>IF(COUNTIFS('PAYG INDICATIVE OPTIONS'!$U$4:$X$9,'Loan Repayment Input Sheet'!B270)&gt;0,0,"")</f>
        <v/>
      </c>
      <c r="E270" s="27"/>
      <c r="F270" s="10">
        <f t="shared" si="19"/>
        <v>0</v>
      </c>
      <c r="G270" s="29">
        <f t="shared" si="20"/>
        <v>0</v>
      </c>
      <c r="H270" s="12">
        <f t="shared" si="21"/>
        <v>0</v>
      </c>
      <c r="I270" s="12">
        <f t="shared" si="22"/>
        <v>0</v>
      </c>
      <c r="J270" s="29">
        <f t="shared" si="23"/>
        <v>0</v>
      </c>
      <c r="K270" s="41"/>
      <c r="L270" s="41"/>
      <c r="M270" s="41"/>
      <c r="N270" s="41"/>
    </row>
    <row r="271" spans="1:14" x14ac:dyDescent="0.2">
      <c r="B271" s="1">
        <v>251</v>
      </c>
      <c r="C271" s="13">
        <f t="shared" si="18"/>
        <v>52109</v>
      </c>
      <c r="D271" s="46" t="str">
        <f>IF(COUNTIFS('PAYG INDICATIVE OPTIONS'!$U$4:$X$9,'Loan Repayment Input Sheet'!B271)&gt;0,0,"")</f>
        <v/>
      </c>
      <c r="E271" s="27"/>
      <c r="F271" s="10">
        <f t="shared" si="19"/>
        <v>0</v>
      </c>
      <c r="G271" s="29">
        <f t="shared" si="20"/>
        <v>0</v>
      </c>
      <c r="H271" s="12">
        <f t="shared" si="21"/>
        <v>0</v>
      </c>
      <c r="I271" s="12">
        <f t="shared" si="22"/>
        <v>0</v>
      </c>
      <c r="J271" s="29">
        <f t="shared" si="23"/>
        <v>0</v>
      </c>
      <c r="K271" s="41"/>
      <c r="L271" s="41"/>
      <c r="M271" s="41"/>
      <c r="N271" s="41"/>
    </row>
    <row r="272" spans="1:14" x14ac:dyDescent="0.2">
      <c r="B272" s="1">
        <v>252</v>
      </c>
      <c r="C272" s="13">
        <f t="shared" si="18"/>
        <v>52139</v>
      </c>
      <c r="D272" s="46" t="str">
        <f>IF(COUNTIFS('PAYG INDICATIVE OPTIONS'!$U$4:$X$9,'Loan Repayment Input Sheet'!B272)&gt;0,0,"")</f>
        <v/>
      </c>
      <c r="E272" s="27"/>
      <c r="F272" s="10">
        <f t="shared" si="19"/>
        <v>0</v>
      </c>
      <c r="G272" s="29">
        <f t="shared" si="20"/>
        <v>0</v>
      </c>
      <c r="H272" s="12">
        <f t="shared" si="21"/>
        <v>0</v>
      </c>
      <c r="I272" s="12">
        <f t="shared" si="22"/>
        <v>0</v>
      </c>
      <c r="J272" s="29">
        <f t="shared" si="23"/>
        <v>0</v>
      </c>
      <c r="K272" s="41"/>
      <c r="L272" s="41"/>
      <c r="M272" s="41"/>
      <c r="N272" s="41"/>
    </row>
    <row r="273" spans="1:14" x14ac:dyDescent="0.2">
      <c r="A273" s="1">
        <f>IF($A$18=1,22,IF($A$18=3,""))</f>
        <v>22</v>
      </c>
      <c r="B273" s="1">
        <v>253</v>
      </c>
      <c r="C273" s="13">
        <f t="shared" si="18"/>
        <v>52170</v>
      </c>
      <c r="D273" s="46" t="str">
        <f>IF(COUNTIFS('PAYG INDICATIVE OPTIONS'!$U$4:$X$9,'Loan Repayment Input Sheet'!B273)&gt;0,0,"")</f>
        <v/>
      </c>
      <c r="E273" s="27"/>
      <c r="F273" s="10">
        <f t="shared" si="19"/>
        <v>0</v>
      </c>
      <c r="G273" s="29">
        <f t="shared" si="20"/>
        <v>0</v>
      </c>
      <c r="H273" s="12">
        <f t="shared" si="21"/>
        <v>0</v>
      </c>
      <c r="I273" s="12">
        <f t="shared" si="22"/>
        <v>0</v>
      </c>
      <c r="J273" s="29">
        <f t="shared" si="23"/>
        <v>0</v>
      </c>
      <c r="K273" s="41"/>
      <c r="L273" s="41"/>
      <c r="M273" s="41"/>
      <c r="N273" s="41"/>
    </row>
    <row r="274" spans="1:14" x14ac:dyDescent="0.2">
      <c r="B274" s="1">
        <v>254</v>
      </c>
      <c r="C274" s="13">
        <f t="shared" ref="C274:C337" si="24">EOMONTH(C273,$A$18)</f>
        <v>52200</v>
      </c>
      <c r="D274" s="46" t="str">
        <f>IF(COUNTIFS('PAYG INDICATIVE OPTIONS'!$U$4:$X$9,'Loan Repayment Input Sheet'!B274)&gt;0,0,"")</f>
        <v/>
      </c>
      <c r="E274" s="27"/>
      <c r="F274" s="10">
        <f t="shared" si="19"/>
        <v>0</v>
      </c>
      <c r="G274" s="29">
        <f t="shared" si="20"/>
        <v>0</v>
      </c>
      <c r="H274" s="12">
        <f t="shared" si="21"/>
        <v>0</v>
      </c>
      <c r="I274" s="12">
        <f t="shared" si="22"/>
        <v>0</v>
      </c>
      <c r="J274" s="29">
        <f t="shared" si="23"/>
        <v>0</v>
      </c>
      <c r="K274" s="41"/>
      <c r="L274" s="41"/>
      <c r="M274" s="41"/>
      <c r="N274" s="41"/>
    </row>
    <row r="275" spans="1:14" x14ac:dyDescent="0.2">
      <c r="B275" s="1">
        <v>255</v>
      </c>
      <c r="C275" s="13">
        <f t="shared" si="24"/>
        <v>52231</v>
      </c>
      <c r="D275" s="46" t="str">
        <f>IF(COUNTIFS('PAYG INDICATIVE OPTIONS'!$U$4:$X$9,'Loan Repayment Input Sheet'!B275)&gt;0,0,"")</f>
        <v/>
      </c>
      <c r="E275" s="27"/>
      <c r="F275" s="10">
        <f t="shared" si="19"/>
        <v>0</v>
      </c>
      <c r="G275" s="29">
        <f t="shared" si="20"/>
        <v>0</v>
      </c>
      <c r="H275" s="12">
        <f t="shared" si="21"/>
        <v>0</v>
      </c>
      <c r="I275" s="12">
        <f t="shared" si="22"/>
        <v>0</v>
      </c>
      <c r="J275" s="29">
        <f t="shared" si="23"/>
        <v>0</v>
      </c>
      <c r="K275" s="41"/>
      <c r="L275" s="41"/>
      <c r="M275" s="41"/>
      <c r="N275" s="41"/>
    </row>
    <row r="276" spans="1:14" x14ac:dyDescent="0.2">
      <c r="B276" s="1">
        <v>256</v>
      </c>
      <c r="C276" s="13">
        <f t="shared" si="24"/>
        <v>52262</v>
      </c>
      <c r="D276" s="46" t="str">
        <f>IF(COUNTIFS('PAYG INDICATIVE OPTIONS'!$U$4:$X$9,'Loan Repayment Input Sheet'!B276)&gt;0,0,"")</f>
        <v/>
      </c>
      <c r="E276" s="27"/>
      <c r="F276" s="10">
        <f t="shared" si="19"/>
        <v>0</v>
      </c>
      <c r="G276" s="29">
        <f t="shared" si="20"/>
        <v>0</v>
      </c>
      <c r="H276" s="12">
        <f t="shared" si="21"/>
        <v>0</v>
      </c>
      <c r="I276" s="12">
        <f t="shared" si="22"/>
        <v>0</v>
      </c>
      <c r="J276" s="29">
        <f t="shared" si="23"/>
        <v>0</v>
      </c>
      <c r="K276" s="41"/>
      <c r="L276" s="41"/>
      <c r="M276" s="41"/>
      <c r="N276" s="41"/>
    </row>
    <row r="277" spans="1:14" x14ac:dyDescent="0.2">
      <c r="B277" s="1">
        <v>257</v>
      </c>
      <c r="C277" s="13">
        <f t="shared" si="24"/>
        <v>52290</v>
      </c>
      <c r="D277" s="46" t="str">
        <f>IF(COUNTIFS('PAYG INDICATIVE OPTIONS'!$U$4:$X$9,'Loan Repayment Input Sheet'!B277)&gt;0,0,"")</f>
        <v/>
      </c>
      <c r="E277" s="27"/>
      <c r="F277" s="10">
        <f t="shared" ref="F277:F340" si="25">IF(AND($H$10="Yes",$C277&lt;$H$11),J276*$H$12/$M$5,J276*$M$8/$M$5)</f>
        <v>0</v>
      </c>
      <c r="G277" s="29">
        <f t="shared" ref="G277:G340" si="26">IF(E277="",IF(AND($H$10="Yes",$C277&lt;$H$11),J276*$H$12/$M$5,J276*$M$8/$M$5),E277)</f>
        <v>0</v>
      </c>
      <c r="H277" s="12">
        <f t="shared" si="21"/>
        <v>0</v>
      </c>
      <c r="I277" s="12">
        <f t="shared" si="22"/>
        <v>0</v>
      </c>
      <c r="J277" s="29">
        <f t="shared" si="23"/>
        <v>0</v>
      </c>
      <c r="K277" s="41"/>
      <c r="L277" s="41"/>
      <c r="M277" s="41"/>
      <c r="N277" s="41"/>
    </row>
    <row r="278" spans="1:14" x14ac:dyDescent="0.2">
      <c r="B278" s="1">
        <v>258</v>
      </c>
      <c r="C278" s="13">
        <f t="shared" si="24"/>
        <v>52321</v>
      </c>
      <c r="D278" s="46" t="str">
        <f>IF(COUNTIFS('PAYG INDICATIVE OPTIONS'!$U$4:$X$9,'Loan Repayment Input Sheet'!B278)&gt;0,0,"")</f>
        <v/>
      </c>
      <c r="E278" s="27"/>
      <c r="F278" s="10">
        <f t="shared" si="25"/>
        <v>0</v>
      </c>
      <c r="G278" s="29">
        <f t="shared" si="26"/>
        <v>0</v>
      </c>
      <c r="H278" s="12">
        <f t="shared" ref="H278:H341" si="27">IF(D278="",I278-G278,D278)</f>
        <v>0</v>
      </c>
      <c r="I278" s="12">
        <f t="shared" ref="I278:I341" si="28">IF(D278&lt;&gt;"",
D278+G278,
IF($H$14&lt;&gt;"",
$H$14,
IF($H$15&lt;&gt;"",
$H$15+G278,
IF(AND($H$10="Yes",$C278&lt;$H$11),
IF(ISERROR(ABS(PMT($H$12/$M$5,$M$6-B277,J277))),0,ABS(PMT($H$12/$M$5,$M$6-B277,J277))),
IF(ISERROR(ABS(PMT($M$8/$M$5,$M$6-B277,J277))),0,ABS(PMT($M$8/$M$5,$M$6-B277,J277)))))))</f>
        <v>0</v>
      </c>
      <c r="J278" s="29">
        <f t="shared" ref="J278:J341" si="29">J277-(I278-F278)</f>
        <v>0</v>
      </c>
      <c r="K278" s="41"/>
      <c r="L278" s="41"/>
      <c r="M278" s="41"/>
      <c r="N278" s="41"/>
    </row>
    <row r="279" spans="1:14" x14ac:dyDescent="0.2">
      <c r="B279" s="1">
        <v>259</v>
      </c>
      <c r="C279" s="13">
        <f t="shared" si="24"/>
        <v>52351</v>
      </c>
      <c r="D279" s="46" t="str">
        <f>IF(COUNTIFS('PAYG INDICATIVE OPTIONS'!$U$4:$X$9,'Loan Repayment Input Sheet'!B279)&gt;0,0,"")</f>
        <v/>
      </c>
      <c r="E279" s="27"/>
      <c r="F279" s="10">
        <f t="shared" si="25"/>
        <v>0</v>
      </c>
      <c r="G279" s="29">
        <f t="shared" si="26"/>
        <v>0</v>
      </c>
      <c r="H279" s="12">
        <f t="shared" si="27"/>
        <v>0</v>
      </c>
      <c r="I279" s="12">
        <f t="shared" si="28"/>
        <v>0</v>
      </c>
      <c r="J279" s="29">
        <f t="shared" si="29"/>
        <v>0</v>
      </c>
      <c r="K279" s="41"/>
      <c r="L279" s="41"/>
      <c r="M279" s="41"/>
      <c r="N279" s="41"/>
    </row>
    <row r="280" spans="1:14" x14ac:dyDescent="0.2">
      <c r="B280" s="1">
        <v>260</v>
      </c>
      <c r="C280" s="13">
        <f t="shared" si="24"/>
        <v>52382</v>
      </c>
      <c r="D280" s="46" t="str">
        <f>IF(COUNTIFS('PAYG INDICATIVE OPTIONS'!$U$4:$X$9,'Loan Repayment Input Sheet'!B280)&gt;0,0,"")</f>
        <v/>
      </c>
      <c r="E280" s="27"/>
      <c r="F280" s="10">
        <f t="shared" si="25"/>
        <v>0</v>
      </c>
      <c r="G280" s="29">
        <f t="shared" si="26"/>
        <v>0</v>
      </c>
      <c r="H280" s="12">
        <f t="shared" si="27"/>
        <v>0</v>
      </c>
      <c r="I280" s="12">
        <f t="shared" si="28"/>
        <v>0</v>
      </c>
      <c r="J280" s="29">
        <f t="shared" si="29"/>
        <v>0</v>
      </c>
      <c r="K280" s="41"/>
      <c r="L280" s="41"/>
      <c r="M280" s="41"/>
      <c r="N280" s="41"/>
    </row>
    <row r="281" spans="1:14" x14ac:dyDescent="0.2">
      <c r="B281" s="1">
        <v>261</v>
      </c>
      <c r="C281" s="13">
        <f t="shared" si="24"/>
        <v>52412</v>
      </c>
      <c r="D281" s="46" t="str">
        <f>IF(COUNTIFS('PAYG INDICATIVE OPTIONS'!$U$4:$X$9,'Loan Repayment Input Sheet'!B281)&gt;0,0,"")</f>
        <v/>
      </c>
      <c r="E281" s="27"/>
      <c r="F281" s="10">
        <f t="shared" si="25"/>
        <v>0</v>
      </c>
      <c r="G281" s="29">
        <f t="shared" si="26"/>
        <v>0</v>
      </c>
      <c r="H281" s="12">
        <f t="shared" si="27"/>
        <v>0</v>
      </c>
      <c r="I281" s="12">
        <f t="shared" si="28"/>
        <v>0</v>
      </c>
      <c r="J281" s="29">
        <f t="shared" si="29"/>
        <v>0</v>
      </c>
      <c r="K281" s="41"/>
      <c r="L281" s="41"/>
      <c r="M281" s="41"/>
      <c r="N281" s="41"/>
    </row>
    <row r="282" spans="1:14" x14ac:dyDescent="0.2">
      <c r="B282" s="1">
        <v>262</v>
      </c>
      <c r="C282" s="13">
        <f t="shared" si="24"/>
        <v>52443</v>
      </c>
      <c r="D282" s="46" t="str">
        <f>IF(COUNTIFS('PAYG INDICATIVE OPTIONS'!$U$4:$X$9,'Loan Repayment Input Sheet'!B282)&gt;0,0,"")</f>
        <v/>
      </c>
      <c r="E282" s="27"/>
      <c r="F282" s="10">
        <f t="shared" si="25"/>
        <v>0</v>
      </c>
      <c r="G282" s="29">
        <f t="shared" si="26"/>
        <v>0</v>
      </c>
      <c r="H282" s="12">
        <f t="shared" si="27"/>
        <v>0</v>
      </c>
      <c r="I282" s="12">
        <f t="shared" si="28"/>
        <v>0</v>
      </c>
      <c r="J282" s="29">
        <f t="shared" si="29"/>
        <v>0</v>
      </c>
      <c r="K282" s="41"/>
      <c r="L282" s="41"/>
      <c r="M282" s="41"/>
      <c r="N282" s="41"/>
    </row>
    <row r="283" spans="1:14" x14ac:dyDescent="0.2">
      <c r="B283" s="1">
        <v>263</v>
      </c>
      <c r="C283" s="13">
        <f t="shared" si="24"/>
        <v>52474</v>
      </c>
      <c r="D283" s="46" t="str">
        <f>IF(COUNTIFS('PAYG INDICATIVE OPTIONS'!$U$4:$X$9,'Loan Repayment Input Sheet'!B283)&gt;0,0,"")</f>
        <v/>
      </c>
      <c r="E283" s="27"/>
      <c r="F283" s="10">
        <f t="shared" si="25"/>
        <v>0</v>
      </c>
      <c r="G283" s="29">
        <f t="shared" si="26"/>
        <v>0</v>
      </c>
      <c r="H283" s="12">
        <f t="shared" si="27"/>
        <v>0</v>
      </c>
      <c r="I283" s="12">
        <f t="shared" si="28"/>
        <v>0</v>
      </c>
      <c r="J283" s="29">
        <f t="shared" si="29"/>
        <v>0</v>
      </c>
      <c r="K283" s="41"/>
      <c r="L283" s="41"/>
      <c r="M283" s="41"/>
      <c r="N283" s="41"/>
    </row>
    <row r="284" spans="1:14" x14ac:dyDescent="0.2">
      <c r="B284" s="1">
        <v>264</v>
      </c>
      <c r="C284" s="13">
        <f t="shared" si="24"/>
        <v>52504</v>
      </c>
      <c r="D284" s="46" t="str">
        <f>IF(COUNTIFS('PAYG INDICATIVE OPTIONS'!$U$4:$X$9,'Loan Repayment Input Sheet'!B284)&gt;0,0,"")</f>
        <v/>
      </c>
      <c r="E284" s="27"/>
      <c r="F284" s="10">
        <f t="shared" si="25"/>
        <v>0</v>
      </c>
      <c r="G284" s="29">
        <f t="shared" si="26"/>
        <v>0</v>
      </c>
      <c r="H284" s="12">
        <f t="shared" si="27"/>
        <v>0</v>
      </c>
      <c r="I284" s="12">
        <f t="shared" si="28"/>
        <v>0</v>
      </c>
      <c r="J284" s="29">
        <f t="shared" si="29"/>
        <v>0</v>
      </c>
      <c r="K284" s="41"/>
      <c r="L284" s="41"/>
      <c r="M284" s="41"/>
      <c r="N284" s="41"/>
    </row>
    <row r="285" spans="1:14" x14ac:dyDescent="0.2">
      <c r="A285" s="1">
        <f>IF($A$18=1,23,IF($A$18=3,""))</f>
        <v>23</v>
      </c>
      <c r="B285" s="1">
        <v>265</v>
      </c>
      <c r="C285" s="13">
        <f t="shared" si="24"/>
        <v>52535</v>
      </c>
      <c r="D285" s="46" t="str">
        <f>IF(COUNTIFS('PAYG INDICATIVE OPTIONS'!$U$4:$X$9,'Loan Repayment Input Sheet'!B285)&gt;0,0,"")</f>
        <v/>
      </c>
      <c r="E285" s="27"/>
      <c r="F285" s="10">
        <f t="shared" si="25"/>
        <v>0</v>
      </c>
      <c r="G285" s="29">
        <f t="shared" si="26"/>
        <v>0</v>
      </c>
      <c r="H285" s="12">
        <f t="shared" si="27"/>
        <v>0</v>
      </c>
      <c r="I285" s="12">
        <f t="shared" si="28"/>
        <v>0</v>
      </c>
      <c r="J285" s="29">
        <f t="shared" si="29"/>
        <v>0</v>
      </c>
      <c r="K285" s="41"/>
      <c r="L285" s="41"/>
      <c r="M285" s="41"/>
      <c r="N285" s="41"/>
    </row>
    <row r="286" spans="1:14" x14ac:dyDescent="0.2">
      <c r="B286" s="1">
        <v>266</v>
      </c>
      <c r="C286" s="13">
        <f t="shared" si="24"/>
        <v>52565</v>
      </c>
      <c r="D286" s="46" t="str">
        <f>IF(COUNTIFS('PAYG INDICATIVE OPTIONS'!$U$4:$X$9,'Loan Repayment Input Sheet'!B286)&gt;0,0,"")</f>
        <v/>
      </c>
      <c r="E286" s="27"/>
      <c r="F286" s="10">
        <f t="shared" si="25"/>
        <v>0</v>
      </c>
      <c r="G286" s="29">
        <f t="shared" si="26"/>
        <v>0</v>
      </c>
      <c r="H286" s="12">
        <f t="shared" si="27"/>
        <v>0</v>
      </c>
      <c r="I286" s="12">
        <f t="shared" si="28"/>
        <v>0</v>
      </c>
      <c r="J286" s="29">
        <f t="shared" si="29"/>
        <v>0</v>
      </c>
      <c r="K286" s="41"/>
      <c r="L286" s="41"/>
      <c r="M286" s="41"/>
      <c r="N286" s="41"/>
    </row>
    <row r="287" spans="1:14" x14ac:dyDescent="0.2">
      <c r="B287" s="1">
        <v>267</v>
      </c>
      <c r="C287" s="13">
        <f t="shared" si="24"/>
        <v>52596</v>
      </c>
      <c r="D287" s="46" t="str">
        <f>IF(COUNTIFS('PAYG INDICATIVE OPTIONS'!$U$4:$X$9,'Loan Repayment Input Sheet'!B287)&gt;0,0,"")</f>
        <v/>
      </c>
      <c r="E287" s="27"/>
      <c r="F287" s="10">
        <f t="shared" si="25"/>
        <v>0</v>
      </c>
      <c r="G287" s="29">
        <f t="shared" si="26"/>
        <v>0</v>
      </c>
      <c r="H287" s="12">
        <f t="shared" si="27"/>
        <v>0</v>
      </c>
      <c r="I287" s="12">
        <f t="shared" si="28"/>
        <v>0</v>
      </c>
      <c r="J287" s="29">
        <f t="shared" si="29"/>
        <v>0</v>
      </c>
      <c r="K287" s="41"/>
      <c r="L287" s="41"/>
      <c r="M287" s="41"/>
      <c r="N287" s="41"/>
    </row>
    <row r="288" spans="1:14" x14ac:dyDescent="0.2">
      <c r="B288" s="1">
        <v>268</v>
      </c>
      <c r="C288" s="13">
        <f t="shared" si="24"/>
        <v>52627</v>
      </c>
      <c r="D288" s="46" t="str">
        <f>IF(COUNTIFS('PAYG INDICATIVE OPTIONS'!$U$4:$X$9,'Loan Repayment Input Sheet'!B288)&gt;0,0,"")</f>
        <v/>
      </c>
      <c r="E288" s="27"/>
      <c r="F288" s="10">
        <f t="shared" si="25"/>
        <v>0</v>
      </c>
      <c r="G288" s="29">
        <f t="shared" si="26"/>
        <v>0</v>
      </c>
      <c r="H288" s="12">
        <f t="shared" si="27"/>
        <v>0</v>
      </c>
      <c r="I288" s="12">
        <f t="shared" si="28"/>
        <v>0</v>
      </c>
      <c r="J288" s="29">
        <f t="shared" si="29"/>
        <v>0</v>
      </c>
      <c r="K288" s="41"/>
      <c r="L288" s="41"/>
      <c r="M288" s="41"/>
      <c r="N288" s="41"/>
    </row>
    <row r="289" spans="1:14" x14ac:dyDescent="0.2">
      <c r="B289" s="1">
        <v>269</v>
      </c>
      <c r="C289" s="13">
        <f t="shared" si="24"/>
        <v>52656</v>
      </c>
      <c r="D289" s="46" t="str">
        <f>IF(COUNTIFS('PAYG INDICATIVE OPTIONS'!$U$4:$X$9,'Loan Repayment Input Sheet'!B289)&gt;0,0,"")</f>
        <v/>
      </c>
      <c r="E289" s="27"/>
      <c r="F289" s="10">
        <f t="shared" si="25"/>
        <v>0</v>
      </c>
      <c r="G289" s="29">
        <f t="shared" si="26"/>
        <v>0</v>
      </c>
      <c r="H289" s="12">
        <f t="shared" si="27"/>
        <v>0</v>
      </c>
      <c r="I289" s="12">
        <f t="shared" si="28"/>
        <v>0</v>
      </c>
      <c r="J289" s="29">
        <f t="shared" si="29"/>
        <v>0</v>
      </c>
      <c r="K289" s="41"/>
      <c r="L289" s="41"/>
      <c r="M289" s="41"/>
      <c r="N289" s="41"/>
    </row>
    <row r="290" spans="1:14" x14ac:dyDescent="0.2">
      <c r="B290" s="1">
        <v>270</v>
      </c>
      <c r="C290" s="13">
        <f t="shared" si="24"/>
        <v>52687</v>
      </c>
      <c r="D290" s="46" t="str">
        <f>IF(COUNTIFS('PAYG INDICATIVE OPTIONS'!$U$4:$X$9,'Loan Repayment Input Sheet'!B290)&gt;0,0,"")</f>
        <v/>
      </c>
      <c r="E290" s="27"/>
      <c r="F290" s="10">
        <f t="shared" si="25"/>
        <v>0</v>
      </c>
      <c r="G290" s="29">
        <f t="shared" si="26"/>
        <v>0</v>
      </c>
      <c r="H290" s="12">
        <f t="shared" si="27"/>
        <v>0</v>
      </c>
      <c r="I290" s="12">
        <f t="shared" si="28"/>
        <v>0</v>
      </c>
      <c r="J290" s="29">
        <f t="shared" si="29"/>
        <v>0</v>
      </c>
      <c r="K290" s="41"/>
      <c r="L290" s="41"/>
      <c r="M290" s="41"/>
      <c r="N290" s="41"/>
    </row>
    <row r="291" spans="1:14" x14ac:dyDescent="0.2">
      <c r="B291" s="1">
        <v>271</v>
      </c>
      <c r="C291" s="13">
        <f t="shared" si="24"/>
        <v>52717</v>
      </c>
      <c r="D291" s="46" t="str">
        <f>IF(COUNTIFS('PAYG INDICATIVE OPTIONS'!$U$4:$X$9,'Loan Repayment Input Sheet'!B291)&gt;0,0,"")</f>
        <v/>
      </c>
      <c r="E291" s="27"/>
      <c r="F291" s="10">
        <f t="shared" si="25"/>
        <v>0</v>
      </c>
      <c r="G291" s="29">
        <f t="shared" si="26"/>
        <v>0</v>
      </c>
      <c r="H291" s="12">
        <f t="shared" si="27"/>
        <v>0</v>
      </c>
      <c r="I291" s="12">
        <f t="shared" si="28"/>
        <v>0</v>
      </c>
      <c r="J291" s="29">
        <f t="shared" si="29"/>
        <v>0</v>
      </c>
      <c r="K291" s="41"/>
      <c r="L291" s="41"/>
      <c r="M291" s="41"/>
      <c r="N291" s="41"/>
    </row>
    <row r="292" spans="1:14" x14ac:dyDescent="0.2">
      <c r="B292" s="1">
        <v>272</v>
      </c>
      <c r="C292" s="13">
        <f t="shared" si="24"/>
        <v>52748</v>
      </c>
      <c r="D292" s="46" t="str">
        <f>IF(COUNTIFS('PAYG INDICATIVE OPTIONS'!$U$4:$X$9,'Loan Repayment Input Sheet'!B292)&gt;0,0,"")</f>
        <v/>
      </c>
      <c r="E292" s="27"/>
      <c r="F292" s="10">
        <f t="shared" si="25"/>
        <v>0</v>
      </c>
      <c r="G292" s="29">
        <f t="shared" si="26"/>
        <v>0</v>
      </c>
      <c r="H292" s="12">
        <f t="shared" si="27"/>
        <v>0</v>
      </c>
      <c r="I292" s="12">
        <f t="shared" si="28"/>
        <v>0</v>
      </c>
      <c r="J292" s="29">
        <f t="shared" si="29"/>
        <v>0</v>
      </c>
      <c r="K292" s="41"/>
      <c r="L292" s="41"/>
      <c r="M292" s="41"/>
      <c r="N292" s="41"/>
    </row>
    <row r="293" spans="1:14" x14ac:dyDescent="0.2">
      <c r="B293" s="1">
        <v>273</v>
      </c>
      <c r="C293" s="13">
        <f t="shared" si="24"/>
        <v>52778</v>
      </c>
      <c r="D293" s="46" t="str">
        <f>IF(COUNTIFS('PAYG INDICATIVE OPTIONS'!$U$4:$X$9,'Loan Repayment Input Sheet'!B293)&gt;0,0,"")</f>
        <v/>
      </c>
      <c r="E293" s="27"/>
      <c r="F293" s="10">
        <f t="shared" si="25"/>
        <v>0</v>
      </c>
      <c r="G293" s="29">
        <f t="shared" si="26"/>
        <v>0</v>
      </c>
      <c r="H293" s="12">
        <f t="shared" si="27"/>
        <v>0</v>
      </c>
      <c r="I293" s="12">
        <f t="shared" si="28"/>
        <v>0</v>
      </c>
      <c r="J293" s="29">
        <f t="shared" si="29"/>
        <v>0</v>
      </c>
      <c r="K293" s="41"/>
      <c r="L293" s="41"/>
      <c r="M293" s="41"/>
      <c r="N293" s="41"/>
    </row>
    <row r="294" spans="1:14" x14ac:dyDescent="0.2">
      <c r="B294" s="1">
        <v>274</v>
      </c>
      <c r="C294" s="13">
        <f t="shared" si="24"/>
        <v>52809</v>
      </c>
      <c r="D294" s="46" t="str">
        <f>IF(COUNTIFS('PAYG INDICATIVE OPTIONS'!$U$4:$X$9,'Loan Repayment Input Sheet'!B294)&gt;0,0,"")</f>
        <v/>
      </c>
      <c r="E294" s="27"/>
      <c r="F294" s="10">
        <f t="shared" si="25"/>
        <v>0</v>
      </c>
      <c r="G294" s="29">
        <f t="shared" si="26"/>
        <v>0</v>
      </c>
      <c r="H294" s="12">
        <f t="shared" si="27"/>
        <v>0</v>
      </c>
      <c r="I294" s="12">
        <f t="shared" si="28"/>
        <v>0</v>
      </c>
      <c r="J294" s="29">
        <f t="shared" si="29"/>
        <v>0</v>
      </c>
      <c r="K294" s="41"/>
      <c r="L294" s="41"/>
      <c r="M294" s="41"/>
      <c r="N294" s="41"/>
    </row>
    <row r="295" spans="1:14" x14ac:dyDescent="0.2">
      <c r="B295" s="1">
        <v>275</v>
      </c>
      <c r="C295" s="13">
        <f t="shared" si="24"/>
        <v>52840</v>
      </c>
      <c r="D295" s="46" t="str">
        <f>IF(COUNTIFS('PAYG INDICATIVE OPTIONS'!$U$4:$X$9,'Loan Repayment Input Sheet'!B295)&gt;0,0,"")</f>
        <v/>
      </c>
      <c r="E295" s="27"/>
      <c r="F295" s="10">
        <f t="shared" si="25"/>
        <v>0</v>
      </c>
      <c r="G295" s="29">
        <f t="shared" si="26"/>
        <v>0</v>
      </c>
      <c r="H295" s="12">
        <f t="shared" si="27"/>
        <v>0</v>
      </c>
      <c r="I295" s="12">
        <f t="shared" si="28"/>
        <v>0</v>
      </c>
      <c r="J295" s="29">
        <f t="shared" si="29"/>
        <v>0</v>
      </c>
      <c r="K295" s="41"/>
      <c r="L295" s="41"/>
      <c r="M295" s="41"/>
      <c r="N295" s="41"/>
    </row>
    <row r="296" spans="1:14" x14ac:dyDescent="0.2">
      <c r="B296" s="1">
        <v>276</v>
      </c>
      <c r="C296" s="13">
        <f t="shared" si="24"/>
        <v>52870</v>
      </c>
      <c r="D296" s="46" t="str">
        <f>IF(COUNTIFS('PAYG INDICATIVE OPTIONS'!$U$4:$X$9,'Loan Repayment Input Sheet'!B296)&gt;0,0,"")</f>
        <v/>
      </c>
      <c r="E296" s="27"/>
      <c r="F296" s="10">
        <f t="shared" si="25"/>
        <v>0</v>
      </c>
      <c r="G296" s="29">
        <f t="shared" si="26"/>
        <v>0</v>
      </c>
      <c r="H296" s="12">
        <f t="shared" si="27"/>
        <v>0</v>
      </c>
      <c r="I296" s="12">
        <f t="shared" si="28"/>
        <v>0</v>
      </c>
      <c r="J296" s="29">
        <f t="shared" si="29"/>
        <v>0</v>
      </c>
      <c r="K296" s="41"/>
      <c r="L296" s="41"/>
      <c r="M296" s="41"/>
      <c r="N296" s="41"/>
    </row>
    <row r="297" spans="1:14" x14ac:dyDescent="0.2">
      <c r="A297" s="1">
        <f>IF($A$18=1,24,IF($A$18=3,""))</f>
        <v>24</v>
      </c>
      <c r="B297" s="1">
        <v>277</v>
      </c>
      <c r="C297" s="13">
        <f t="shared" si="24"/>
        <v>52901</v>
      </c>
      <c r="D297" s="46" t="str">
        <f>IF(COUNTIFS('PAYG INDICATIVE OPTIONS'!$U$4:$X$9,'Loan Repayment Input Sheet'!B297)&gt;0,0,"")</f>
        <v/>
      </c>
      <c r="E297" s="27"/>
      <c r="F297" s="10">
        <f t="shared" si="25"/>
        <v>0</v>
      </c>
      <c r="G297" s="29">
        <f t="shared" si="26"/>
        <v>0</v>
      </c>
      <c r="H297" s="12">
        <f t="shared" si="27"/>
        <v>0</v>
      </c>
      <c r="I297" s="12">
        <f t="shared" si="28"/>
        <v>0</v>
      </c>
      <c r="J297" s="29">
        <f t="shared" si="29"/>
        <v>0</v>
      </c>
      <c r="K297" s="41"/>
      <c r="L297" s="41"/>
      <c r="M297" s="41"/>
      <c r="N297" s="41"/>
    </row>
    <row r="298" spans="1:14" x14ac:dyDescent="0.2">
      <c r="B298" s="1">
        <v>278</v>
      </c>
      <c r="C298" s="13">
        <f t="shared" si="24"/>
        <v>52931</v>
      </c>
      <c r="D298" s="46" t="str">
        <f>IF(COUNTIFS('PAYG INDICATIVE OPTIONS'!$U$4:$X$9,'Loan Repayment Input Sheet'!B298)&gt;0,0,"")</f>
        <v/>
      </c>
      <c r="E298" s="27"/>
      <c r="F298" s="10">
        <f t="shared" si="25"/>
        <v>0</v>
      </c>
      <c r="G298" s="29">
        <f t="shared" si="26"/>
        <v>0</v>
      </c>
      <c r="H298" s="12">
        <f t="shared" si="27"/>
        <v>0</v>
      </c>
      <c r="I298" s="12">
        <f t="shared" si="28"/>
        <v>0</v>
      </c>
      <c r="J298" s="29">
        <f t="shared" si="29"/>
        <v>0</v>
      </c>
      <c r="K298" s="41"/>
      <c r="L298" s="41"/>
      <c r="M298" s="41"/>
      <c r="N298" s="41"/>
    </row>
    <row r="299" spans="1:14" x14ac:dyDescent="0.2">
      <c r="B299" s="1">
        <v>279</v>
      </c>
      <c r="C299" s="13">
        <f t="shared" si="24"/>
        <v>52962</v>
      </c>
      <c r="D299" s="46" t="str">
        <f>IF(COUNTIFS('PAYG INDICATIVE OPTIONS'!$U$4:$X$9,'Loan Repayment Input Sheet'!B299)&gt;0,0,"")</f>
        <v/>
      </c>
      <c r="E299" s="27"/>
      <c r="F299" s="10">
        <f t="shared" si="25"/>
        <v>0</v>
      </c>
      <c r="G299" s="29">
        <f t="shared" si="26"/>
        <v>0</v>
      </c>
      <c r="H299" s="12">
        <f t="shared" si="27"/>
        <v>0</v>
      </c>
      <c r="I299" s="12">
        <f t="shared" si="28"/>
        <v>0</v>
      </c>
      <c r="J299" s="29">
        <f t="shared" si="29"/>
        <v>0</v>
      </c>
      <c r="K299" s="41"/>
      <c r="L299" s="41"/>
      <c r="M299" s="41"/>
      <c r="N299" s="41"/>
    </row>
    <row r="300" spans="1:14" x14ac:dyDescent="0.2">
      <c r="B300" s="1">
        <v>280</v>
      </c>
      <c r="C300" s="13">
        <f t="shared" si="24"/>
        <v>52993</v>
      </c>
      <c r="D300" s="46" t="str">
        <f>IF(COUNTIFS('PAYG INDICATIVE OPTIONS'!$U$4:$X$9,'Loan Repayment Input Sheet'!B300)&gt;0,0,"")</f>
        <v/>
      </c>
      <c r="E300" s="27"/>
      <c r="F300" s="10">
        <f t="shared" si="25"/>
        <v>0</v>
      </c>
      <c r="G300" s="29">
        <f t="shared" si="26"/>
        <v>0</v>
      </c>
      <c r="H300" s="12">
        <f t="shared" si="27"/>
        <v>0</v>
      </c>
      <c r="I300" s="12">
        <f t="shared" si="28"/>
        <v>0</v>
      </c>
      <c r="J300" s="29">
        <f t="shared" si="29"/>
        <v>0</v>
      </c>
      <c r="K300" s="41"/>
      <c r="L300" s="41"/>
      <c r="M300" s="41"/>
      <c r="N300" s="41"/>
    </row>
    <row r="301" spans="1:14" x14ac:dyDescent="0.2">
      <c r="B301" s="1">
        <v>281</v>
      </c>
      <c r="C301" s="13">
        <f t="shared" si="24"/>
        <v>53021</v>
      </c>
      <c r="D301" s="46" t="str">
        <f>IF(COUNTIFS('PAYG INDICATIVE OPTIONS'!$U$4:$X$9,'Loan Repayment Input Sheet'!B301)&gt;0,0,"")</f>
        <v/>
      </c>
      <c r="E301" s="27"/>
      <c r="F301" s="10">
        <f t="shared" si="25"/>
        <v>0</v>
      </c>
      <c r="G301" s="29">
        <f t="shared" si="26"/>
        <v>0</v>
      </c>
      <c r="H301" s="12">
        <f t="shared" si="27"/>
        <v>0</v>
      </c>
      <c r="I301" s="12">
        <f t="shared" si="28"/>
        <v>0</v>
      </c>
      <c r="J301" s="29">
        <f t="shared" si="29"/>
        <v>0</v>
      </c>
      <c r="K301" s="41"/>
      <c r="L301" s="41"/>
      <c r="M301" s="41"/>
      <c r="N301" s="41"/>
    </row>
    <row r="302" spans="1:14" x14ac:dyDescent="0.2">
      <c r="B302" s="1">
        <v>282</v>
      </c>
      <c r="C302" s="13">
        <f t="shared" si="24"/>
        <v>53052</v>
      </c>
      <c r="D302" s="46" t="str">
        <f>IF(COUNTIFS('PAYG INDICATIVE OPTIONS'!$U$4:$X$9,'Loan Repayment Input Sheet'!B302)&gt;0,0,"")</f>
        <v/>
      </c>
      <c r="E302" s="27"/>
      <c r="F302" s="10">
        <f t="shared" si="25"/>
        <v>0</v>
      </c>
      <c r="G302" s="29">
        <f t="shared" si="26"/>
        <v>0</v>
      </c>
      <c r="H302" s="12">
        <f t="shared" si="27"/>
        <v>0</v>
      </c>
      <c r="I302" s="12">
        <f t="shared" si="28"/>
        <v>0</v>
      </c>
      <c r="J302" s="29">
        <f t="shared" si="29"/>
        <v>0</v>
      </c>
      <c r="K302" s="41"/>
      <c r="L302" s="41"/>
      <c r="M302" s="41"/>
      <c r="N302" s="41"/>
    </row>
    <row r="303" spans="1:14" x14ac:dyDescent="0.2">
      <c r="B303" s="1">
        <v>283</v>
      </c>
      <c r="C303" s="13">
        <f t="shared" si="24"/>
        <v>53082</v>
      </c>
      <c r="D303" s="46" t="str">
        <f>IF(COUNTIFS('PAYG INDICATIVE OPTIONS'!$U$4:$X$9,'Loan Repayment Input Sheet'!B303)&gt;0,0,"")</f>
        <v/>
      </c>
      <c r="E303" s="27"/>
      <c r="F303" s="10">
        <f t="shared" si="25"/>
        <v>0</v>
      </c>
      <c r="G303" s="29">
        <f t="shared" si="26"/>
        <v>0</v>
      </c>
      <c r="H303" s="12">
        <f t="shared" si="27"/>
        <v>0</v>
      </c>
      <c r="I303" s="12">
        <f t="shared" si="28"/>
        <v>0</v>
      </c>
      <c r="J303" s="29">
        <f t="shared" si="29"/>
        <v>0</v>
      </c>
      <c r="K303" s="41"/>
      <c r="L303" s="41"/>
      <c r="M303" s="41"/>
      <c r="N303" s="41"/>
    </row>
    <row r="304" spans="1:14" x14ac:dyDescent="0.2">
      <c r="B304" s="1">
        <v>284</v>
      </c>
      <c r="C304" s="13">
        <f t="shared" si="24"/>
        <v>53113</v>
      </c>
      <c r="D304" s="46" t="str">
        <f>IF(COUNTIFS('PAYG INDICATIVE OPTIONS'!$U$4:$X$9,'Loan Repayment Input Sheet'!B304)&gt;0,0,"")</f>
        <v/>
      </c>
      <c r="E304" s="27"/>
      <c r="F304" s="10">
        <f t="shared" si="25"/>
        <v>0</v>
      </c>
      <c r="G304" s="29">
        <f t="shared" si="26"/>
        <v>0</v>
      </c>
      <c r="H304" s="12">
        <f t="shared" si="27"/>
        <v>0</v>
      </c>
      <c r="I304" s="12">
        <f t="shared" si="28"/>
        <v>0</v>
      </c>
      <c r="J304" s="29">
        <f t="shared" si="29"/>
        <v>0</v>
      </c>
      <c r="K304" s="41"/>
      <c r="L304" s="41"/>
      <c r="M304" s="41"/>
      <c r="N304" s="41"/>
    </row>
    <row r="305" spans="1:14" x14ac:dyDescent="0.2">
      <c r="B305" s="1">
        <v>285</v>
      </c>
      <c r="C305" s="13">
        <f t="shared" si="24"/>
        <v>53143</v>
      </c>
      <c r="D305" s="46" t="str">
        <f>IF(COUNTIFS('PAYG INDICATIVE OPTIONS'!$U$4:$X$9,'Loan Repayment Input Sheet'!B305)&gt;0,0,"")</f>
        <v/>
      </c>
      <c r="E305" s="27"/>
      <c r="F305" s="10">
        <f t="shared" si="25"/>
        <v>0</v>
      </c>
      <c r="G305" s="29">
        <f t="shared" si="26"/>
        <v>0</v>
      </c>
      <c r="H305" s="12">
        <f t="shared" si="27"/>
        <v>0</v>
      </c>
      <c r="I305" s="12">
        <f t="shared" si="28"/>
        <v>0</v>
      </c>
      <c r="J305" s="29">
        <f t="shared" si="29"/>
        <v>0</v>
      </c>
      <c r="K305" s="41"/>
      <c r="L305" s="41"/>
      <c r="M305" s="41"/>
      <c r="N305" s="41"/>
    </row>
    <row r="306" spans="1:14" x14ac:dyDescent="0.2">
      <c r="B306" s="1">
        <v>286</v>
      </c>
      <c r="C306" s="13">
        <f t="shared" si="24"/>
        <v>53174</v>
      </c>
      <c r="D306" s="46" t="str">
        <f>IF(COUNTIFS('PAYG INDICATIVE OPTIONS'!$U$4:$X$9,'Loan Repayment Input Sheet'!B306)&gt;0,0,"")</f>
        <v/>
      </c>
      <c r="E306" s="27"/>
      <c r="F306" s="10">
        <f t="shared" si="25"/>
        <v>0</v>
      </c>
      <c r="G306" s="29">
        <f t="shared" si="26"/>
        <v>0</v>
      </c>
      <c r="H306" s="12">
        <f t="shared" si="27"/>
        <v>0</v>
      </c>
      <c r="I306" s="12">
        <f t="shared" si="28"/>
        <v>0</v>
      </c>
      <c r="J306" s="29">
        <f t="shared" si="29"/>
        <v>0</v>
      </c>
      <c r="K306" s="41"/>
      <c r="L306" s="41"/>
      <c r="M306" s="41"/>
      <c r="N306" s="41"/>
    </row>
    <row r="307" spans="1:14" x14ac:dyDescent="0.2">
      <c r="B307" s="1">
        <v>287</v>
      </c>
      <c r="C307" s="13">
        <f t="shared" si="24"/>
        <v>53205</v>
      </c>
      <c r="D307" s="46" t="str">
        <f>IF(COUNTIFS('PAYG INDICATIVE OPTIONS'!$U$4:$X$9,'Loan Repayment Input Sheet'!B307)&gt;0,0,"")</f>
        <v/>
      </c>
      <c r="E307" s="27"/>
      <c r="F307" s="10">
        <f t="shared" si="25"/>
        <v>0</v>
      </c>
      <c r="G307" s="29">
        <f t="shared" si="26"/>
        <v>0</v>
      </c>
      <c r="H307" s="12">
        <f t="shared" si="27"/>
        <v>0</v>
      </c>
      <c r="I307" s="12">
        <f t="shared" si="28"/>
        <v>0</v>
      </c>
      <c r="J307" s="29">
        <f t="shared" si="29"/>
        <v>0</v>
      </c>
      <c r="K307" s="41"/>
      <c r="L307" s="41"/>
      <c r="M307" s="41"/>
      <c r="N307" s="41"/>
    </row>
    <row r="308" spans="1:14" x14ac:dyDescent="0.2">
      <c r="B308" s="1">
        <v>288</v>
      </c>
      <c r="C308" s="13">
        <f t="shared" si="24"/>
        <v>53235</v>
      </c>
      <c r="D308" s="46" t="str">
        <f>IF(COUNTIFS('PAYG INDICATIVE OPTIONS'!$U$4:$X$9,'Loan Repayment Input Sheet'!B308)&gt;0,0,"")</f>
        <v/>
      </c>
      <c r="E308" s="27"/>
      <c r="F308" s="10">
        <f t="shared" si="25"/>
        <v>0</v>
      </c>
      <c r="G308" s="29">
        <f t="shared" si="26"/>
        <v>0</v>
      </c>
      <c r="H308" s="12">
        <f t="shared" si="27"/>
        <v>0</v>
      </c>
      <c r="I308" s="12">
        <f t="shared" si="28"/>
        <v>0</v>
      </c>
      <c r="J308" s="29">
        <f t="shared" si="29"/>
        <v>0</v>
      </c>
      <c r="K308" s="41"/>
      <c r="L308" s="41"/>
      <c r="M308" s="41"/>
      <c r="N308" s="41"/>
    </row>
    <row r="309" spans="1:14" x14ac:dyDescent="0.2">
      <c r="A309" s="1">
        <f>IF($A$18=1,25,IF($A$18=3,""))</f>
        <v>25</v>
      </c>
      <c r="B309" s="1">
        <v>289</v>
      </c>
      <c r="C309" s="13">
        <f t="shared" si="24"/>
        <v>53266</v>
      </c>
      <c r="D309" s="46" t="str">
        <f>IF(COUNTIFS('PAYG INDICATIVE OPTIONS'!$U$4:$X$9,'Loan Repayment Input Sheet'!B309)&gt;0,0,"")</f>
        <v/>
      </c>
      <c r="E309" s="27"/>
      <c r="F309" s="10">
        <f t="shared" si="25"/>
        <v>0</v>
      </c>
      <c r="G309" s="29">
        <f t="shared" si="26"/>
        <v>0</v>
      </c>
      <c r="H309" s="12">
        <f t="shared" si="27"/>
        <v>0</v>
      </c>
      <c r="I309" s="12">
        <f t="shared" si="28"/>
        <v>0</v>
      </c>
      <c r="J309" s="29">
        <f t="shared" si="29"/>
        <v>0</v>
      </c>
      <c r="K309" s="41"/>
      <c r="L309" s="41"/>
      <c r="M309" s="41"/>
      <c r="N309" s="41"/>
    </row>
    <row r="310" spans="1:14" x14ac:dyDescent="0.2">
      <c r="B310" s="1">
        <v>290</v>
      </c>
      <c r="C310" s="13">
        <f t="shared" si="24"/>
        <v>53296</v>
      </c>
      <c r="D310" s="46" t="str">
        <f>IF(COUNTIFS('PAYG INDICATIVE OPTIONS'!$U$4:$X$9,'Loan Repayment Input Sheet'!B310)&gt;0,0,"")</f>
        <v/>
      </c>
      <c r="E310" s="27"/>
      <c r="F310" s="10">
        <f t="shared" si="25"/>
        <v>0</v>
      </c>
      <c r="G310" s="29">
        <f t="shared" si="26"/>
        <v>0</v>
      </c>
      <c r="H310" s="12">
        <f t="shared" si="27"/>
        <v>0</v>
      </c>
      <c r="I310" s="12">
        <f t="shared" si="28"/>
        <v>0</v>
      </c>
      <c r="J310" s="29">
        <f t="shared" si="29"/>
        <v>0</v>
      </c>
      <c r="K310" s="41"/>
      <c r="L310" s="41"/>
      <c r="M310" s="41"/>
      <c r="N310" s="41"/>
    </row>
    <row r="311" spans="1:14" x14ac:dyDescent="0.2">
      <c r="B311" s="1">
        <v>291</v>
      </c>
      <c r="C311" s="13">
        <f t="shared" si="24"/>
        <v>53327</v>
      </c>
      <c r="D311" s="46" t="str">
        <f>IF(COUNTIFS('PAYG INDICATIVE OPTIONS'!$U$4:$X$9,'Loan Repayment Input Sheet'!B311)&gt;0,0,"")</f>
        <v/>
      </c>
      <c r="E311" s="27"/>
      <c r="F311" s="10">
        <f t="shared" si="25"/>
        <v>0</v>
      </c>
      <c r="G311" s="29">
        <f t="shared" si="26"/>
        <v>0</v>
      </c>
      <c r="H311" s="12">
        <f t="shared" si="27"/>
        <v>0</v>
      </c>
      <c r="I311" s="12">
        <f t="shared" si="28"/>
        <v>0</v>
      </c>
      <c r="J311" s="29">
        <f t="shared" si="29"/>
        <v>0</v>
      </c>
      <c r="K311" s="41"/>
      <c r="L311" s="41"/>
      <c r="M311" s="41"/>
      <c r="N311" s="41"/>
    </row>
    <row r="312" spans="1:14" x14ac:dyDescent="0.2">
      <c r="B312" s="1">
        <v>292</v>
      </c>
      <c r="C312" s="13">
        <f t="shared" si="24"/>
        <v>53358</v>
      </c>
      <c r="D312" s="46" t="str">
        <f>IF(COUNTIFS('PAYG INDICATIVE OPTIONS'!$U$4:$X$9,'Loan Repayment Input Sheet'!B312)&gt;0,0,"")</f>
        <v/>
      </c>
      <c r="E312" s="27"/>
      <c r="F312" s="10">
        <f t="shared" si="25"/>
        <v>0</v>
      </c>
      <c r="G312" s="29">
        <f t="shared" si="26"/>
        <v>0</v>
      </c>
      <c r="H312" s="12">
        <f t="shared" si="27"/>
        <v>0</v>
      </c>
      <c r="I312" s="12">
        <f t="shared" si="28"/>
        <v>0</v>
      </c>
      <c r="J312" s="29">
        <f t="shared" si="29"/>
        <v>0</v>
      </c>
      <c r="K312" s="41"/>
      <c r="L312" s="41"/>
      <c r="M312" s="41"/>
      <c r="N312" s="41"/>
    </row>
    <row r="313" spans="1:14" x14ac:dyDescent="0.2">
      <c r="B313" s="1">
        <v>293</v>
      </c>
      <c r="C313" s="13">
        <f t="shared" si="24"/>
        <v>53386</v>
      </c>
      <c r="D313" s="46" t="str">
        <f>IF(COUNTIFS('PAYG INDICATIVE OPTIONS'!$U$4:$X$9,'Loan Repayment Input Sheet'!B313)&gt;0,0,"")</f>
        <v/>
      </c>
      <c r="E313" s="27"/>
      <c r="F313" s="10">
        <f t="shared" si="25"/>
        <v>0</v>
      </c>
      <c r="G313" s="29">
        <f t="shared" si="26"/>
        <v>0</v>
      </c>
      <c r="H313" s="12">
        <f t="shared" si="27"/>
        <v>0</v>
      </c>
      <c r="I313" s="12">
        <f t="shared" si="28"/>
        <v>0</v>
      </c>
      <c r="J313" s="29">
        <f t="shared" si="29"/>
        <v>0</v>
      </c>
      <c r="K313" s="41"/>
      <c r="L313" s="41"/>
      <c r="M313" s="41"/>
      <c r="N313" s="41"/>
    </row>
    <row r="314" spans="1:14" x14ac:dyDescent="0.2">
      <c r="B314" s="1">
        <v>294</v>
      </c>
      <c r="C314" s="13">
        <f t="shared" si="24"/>
        <v>53417</v>
      </c>
      <c r="D314" s="46" t="str">
        <f>IF(COUNTIFS('PAYG INDICATIVE OPTIONS'!$U$4:$X$9,'Loan Repayment Input Sheet'!B314)&gt;0,0,"")</f>
        <v/>
      </c>
      <c r="E314" s="27"/>
      <c r="F314" s="10">
        <f t="shared" si="25"/>
        <v>0</v>
      </c>
      <c r="G314" s="29">
        <f t="shared" si="26"/>
        <v>0</v>
      </c>
      <c r="H314" s="12">
        <f t="shared" si="27"/>
        <v>0</v>
      </c>
      <c r="I314" s="12">
        <f t="shared" si="28"/>
        <v>0</v>
      </c>
      <c r="J314" s="29">
        <f t="shared" si="29"/>
        <v>0</v>
      </c>
      <c r="K314" s="41"/>
      <c r="L314" s="41"/>
      <c r="M314" s="41"/>
      <c r="N314" s="41"/>
    </row>
    <row r="315" spans="1:14" x14ac:dyDescent="0.2">
      <c r="B315" s="1">
        <v>295</v>
      </c>
      <c r="C315" s="13">
        <f t="shared" si="24"/>
        <v>53447</v>
      </c>
      <c r="D315" s="46" t="str">
        <f>IF(COUNTIFS('PAYG INDICATIVE OPTIONS'!$U$4:$X$9,'Loan Repayment Input Sheet'!B315)&gt;0,0,"")</f>
        <v/>
      </c>
      <c r="E315" s="27"/>
      <c r="F315" s="10">
        <f t="shared" si="25"/>
        <v>0</v>
      </c>
      <c r="G315" s="29">
        <f t="shared" si="26"/>
        <v>0</v>
      </c>
      <c r="H315" s="12">
        <f t="shared" si="27"/>
        <v>0</v>
      </c>
      <c r="I315" s="12">
        <f t="shared" si="28"/>
        <v>0</v>
      </c>
      <c r="J315" s="29">
        <f t="shared" si="29"/>
        <v>0</v>
      </c>
      <c r="K315" s="41"/>
      <c r="L315" s="41"/>
      <c r="M315" s="41"/>
      <c r="N315" s="41"/>
    </row>
    <row r="316" spans="1:14" x14ac:dyDescent="0.2">
      <c r="B316" s="1">
        <v>296</v>
      </c>
      <c r="C316" s="13">
        <f t="shared" si="24"/>
        <v>53478</v>
      </c>
      <c r="D316" s="46" t="str">
        <f>IF(COUNTIFS('PAYG INDICATIVE OPTIONS'!$U$4:$X$9,'Loan Repayment Input Sheet'!B316)&gt;0,0,"")</f>
        <v/>
      </c>
      <c r="E316" s="27"/>
      <c r="F316" s="10">
        <f t="shared" si="25"/>
        <v>0</v>
      </c>
      <c r="G316" s="29">
        <f t="shared" si="26"/>
        <v>0</v>
      </c>
      <c r="H316" s="12">
        <f t="shared" si="27"/>
        <v>0</v>
      </c>
      <c r="I316" s="12">
        <f t="shared" si="28"/>
        <v>0</v>
      </c>
      <c r="J316" s="29">
        <f t="shared" si="29"/>
        <v>0</v>
      </c>
      <c r="K316" s="41"/>
      <c r="L316" s="41"/>
      <c r="M316" s="41"/>
      <c r="N316" s="41"/>
    </row>
    <row r="317" spans="1:14" x14ac:dyDescent="0.2">
      <c r="B317" s="1">
        <v>297</v>
      </c>
      <c r="C317" s="13">
        <f t="shared" si="24"/>
        <v>53508</v>
      </c>
      <c r="D317" s="46" t="str">
        <f>IF(COUNTIFS('PAYG INDICATIVE OPTIONS'!$U$4:$X$9,'Loan Repayment Input Sheet'!B317)&gt;0,0,"")</f>
        <v/>
      </c>
      <c r="E317" s="27"/>
      <c r="F317" s="10">
        <f t="shared" si="25"/>
        <v>0</v>
      </c>
      <c r="G317" s="29">
        <f t="shared" si="26"/>
        <v>0</v>
      </c>
      <c r="H317" s="12">
        <f t="shared" si="27"/>
        <v>0</v>
      </c>
      <c r="I317" s="12">
        <f t="shared" si="28"/>
        <v>0</v>
      </c>
      <c r="J317" s="29">
        <f t="shared" si="29"/>
        <v>0</v>
      </c>
      <c r="K317" s="41"/>
      <c r="L317" s="41"/>
      <c r="M317" s="41"/>
      <c r="N317" s="41"/>
    </row>
    <row r="318" spans="1:14" x14ac:dyDescent="0.2">
      <c r="B318" s="1">
        <v>298</v>
      </c>
      <c r="C318" s="13">
        <f t="shared" si="24"/>
        <v>53539</v>
      </c>
      <c r="D318" s="46" t="str">
        <f>IF(COUNTIFS('PAYG INDICATIVE OPTIONS'!$U$4:$X$9,'Loan Repayment Input Sheet'!B318)&gt;0,0,"")</f>
        <v/>
      </c>
      <c r="E318" s="27"/>
      <c r="F318" s="10">
        <f t="shared" si="25"/>
        <v>0</v>
      </c>
      <c r="G318" s="29">
        <f t="shared" si="26"/>
        <v>0</v>
      </c>
      <c r="H318" s="12">
        <f t="shared" si="27"/>
        <v>0</v>
      </c>
      <c r="I318" s="12">
        <f t="shared" si="28"/>
        <v>0</v>
      </c>
      <c r="J318" s="29">
        <f t="shared" si="29"/>
        <v>0</v>
      </c>
      <c r="K318" s="41"/>
      <c r="L318" s="41"/>
      <c r="M318" s="41"/>
      <c r="N318" s="41"/>
    </row>
    <row r="319" spans="1:14" x14ac:dyDescent="0.2">
      <c r="B319" s="1">
        <v>299</v>
      </c>
      <c r="C319" s="13">
        <f t="shared" si="24"/>
        <v>53570</v>
      </c>
      <c r="D319" s="46" t="str">
        <f>IF(COUNTIFS('PAYG INDICATIVE OPTIONS'!$U$4:$X$9,'Loan Repayment Input Sheet'!B319)&gt;0,0,"")</f>
        <v/>
      </c>
      <c r="E319" s="27"/>
      <c r="F319" s="10">
        <f t="shared" si="25"/>
        <v>0</v>
      </c>
      <c r="G319" s="29">
        <f t="shared" si="26"/>
        <v>0</v>
      </c>
      <c r="H319" s="12">
        <f t="shared" si="27"/>
        <v>0</v>
      </c>
      <c r="I319" s="12">
        <f t="shared" si="28"/>
        <v>0</v>
      </c>
      <c r="J319" s="29">
        <f t="shared" si="29"/>
        <v>0</v>
      </c>
      <c r="K319" s="41"/>
      <c r="L319" s="41"/>
      <c r="M319" s="41"/>
      <c r="N319" s="41"/>
    </row>
    <row r="320" spans="1:14" x14ac:dyDescent="0.2">
      <c r="B320" s="1">
        <v>300</v>
      </c>
      <c r="C320" s="13">
        <f t="shared" si="24"/>
        <v>53600</v>
      </c>
      <c r="D320" s="46" t="str">
        <f>IF(COUNTIFS('PAYG INDICATIVE OPTIONS'!$U$4:$X$9,'Loan Repayment Input Sheet'!B320)&gt;0,0,"")</f>
        <v/>
      </c>
      <c r="E320" s="27"/>
      <c r="F320" s="10">
        <f t="shared" si="25"/>
        <v>0</v>
      </c>
      <c r="G320" s="29">
        <f t="shared" si="26"/>
        <v>0</v>
      </c>
      <c r="H320" s="12">
        <f t="shared" si="27"/>
        <v>0</v>
      </c>
      <c r="I320" s="12">
        <f t="shared" si="28"/>
        <v>0</v>
      </c>
      <c r="J320" s="29">
        <f t="shared" si="29"/>
        <v>0</v>
      </c>
      <c r="K320" s="41"/>
      <c r="L320" s="41"/>
      <c r="M320" s="41"/>
      <c r="N320" s="41"/>
    </row>
    <row r="321" spans="1:14" x14ac:dyDescent="0.2">
      <c r="A321" s="1">
        <f>IF($A$18=1,26,IF($A$18=3,""))</f>
        <v>26</v>
      </c>
      <c r="B321" s="1">
        <v>301</v>
      </c>
      <c r="C321" s="13">
        <f t="shared" si="24"/>
        <v>53631</v>
      </c>
      <c r="D321" s="46" t="str">
        <f>IF(COUNTIFS('PAYG INDICATIVE OPTIONS'!$U$4:$X$9,'Loan Repayment Input Sheet'!B321)&gt;0,0,"")</f>
        <v/>
      </c>
      <c r="E321" s="27"/>
      <c r="F321" s="10">
        <f t="shared" si="25"/>
        <v>0</v>
      </c>
      <c r="G321" s="29">
        <f t="shared" si="26"/>
        <v>0</v>
      </c>
      <c r="H321" s="12">
        <f t="shared" si="27"/>
        <v>0</v>
      </c>
      <c r="I321" s="12">
        <f t="shared" si="28"/>
        <v>0</v>
      </c>
      <c r="J321" s="29">
        <f t="shared" si="29"/>
        <v>0</v>
      </c>
      <c r="K321" s="41"/>
      <c r="L321" s="41"/>
      <c r="M321" s="41"/>
      <c r="N321" s="41"/>
    </row>
    <row r="322" spans="1:14" x14ac:dyDescent="0.2">
      <c r="B322" s="1">
        <v>302</v>
      </c>
      <c r="C322" s="13">
        <f t="shared" si="24"/>
        <v>53661</v>
      </c>
      <c r="D322" s="46" t="str">
        <f>IF(COUNTIFS('PAYG INDICATIVE OPTIONS'!$U$4:$X$9,'Loan Repayment Input Sheet'!B322)&gt;0,0,"")</f>
        <v/>
      </c>
      <c r="E322" s="27"/>
      <c r="F322" s="10">
        <f t="shared" si="25"/>
        <v>0</v>
      </c>
      <c r="G322" s="29">
        <f t="shared" si="26"/>
        <v>0</v>
      </c>
      <c r="H322" s="12">
        <f t="shared" si="27"/>
        <v>0</v>
      </c>
      <c r="I322" s="12">
        <f t="shared" si="28"/>
        <v>0</v>
      </c>
      <c r="J322" s="29">
        <f t="shared" si="29"/>
        <v>0</v>
      </c>
      <c r="K322" s="41"/>
      <c r="L322" s="41"/>
      <c r="M322" s="41"/>
      <c r="N322" s="41"/>
    </row>
    <row r="323" spans="1:14" x14ac:dyDescent="0.2">
      <c r="B323" s="1">
        <v>303</v>
      </c>
      <c r="C323" s="13">
        <f t="shared" si="24"/>
        <v>53692</v>
      </c>
      <c r="D323" s="46" t="str">
        <f>IF(COUNTIFS('PAYG INDICATIVE OPTIONS'!$U$4:$X$9,'Loan Repayment Input Sheet'!B323)&gt;0,0,"")</f>
        <v/>
      </c>
      <c r="E323" s="27"/>
      <c r="F323" s="10">
        <f t="shared" si="25"/>
        <v>0</v>
      </c>
      <c r="G323" s="29">
        <f t="shared" si="26"/>
        <v>0</v>
      </c>
      <c r="H323" s="12">
        <f t="shared" si="27"/>
        <v>0</v>
      </c>
      <c r="I323" s="12">
        <f t="shared" si="28"/>
        <v>0</v>
      </c>
      <c r="J323" s="29">
        <f t="shared" si="29"/>
        <v>0</v>
      </c>
      <c r="K323" s="41"/>
      <c r="L323" s="41"/>
      <c r="M323" s="41"/>
      <c r="N323" s="41"/>
    </row>
    <row r="324" spans="1:14" x14ac:dyDescent="0.2">
      <c r="B324" s="1">
        <v>304</v>
      </c>
      <c r="C324" s="13">
        <f t="shared" si="24"/>
        <v>53723</v>
      </c>
      <c r="D324" s="46" t="str">
        <f>IF(COUNTIFS('PAYG INDICATIVE OPTIONS'!$U$4:$X$9,'Loan Repayment Input Sheet'!B324)&gt;0,0,"")</f>
        <v/>
      </c>
      <c r="E324" s="27"/>
      <c r="F324" s="10">
        <f t="shared" si="25"/>
        <v>0</v>
      </c>
      <c r="G324" s="29">
        <f t="shared" si="26"/>
        <v>0</v>
      </c>
      <c r="H324" s="12">
        <f t="shared" si="27"/>
        <v>0</v>
      </c>
      <c r="I324" s="12">
        <f t="shared" si="28"/>
        <v>0</v>
      </c>
      <c r="J324" s="29">
        <f t="shared" si="29"/>
        <v>0</v>
      </c>
      <c r="K324" s="41"/>
      <c r="L324" s="41"/>
      <c r="M324" s="41"/>
      <c r="N324" s="41"/>
    </row>
    <row r="325" spans="1:14" x14ac:dyDescent="0.2">
      <c r="B325" s="1">
        <v>305</v>
      </c>
      <c r="C325" s="13">
        <f t="shared" si="24"/>
        <v>53751</v>
      </c>
      <c r="D325" s="46" t="str">
        <f>IF(COUNTIFS('PAYG INDICATIVE OPTIONS'!$U$4:$X$9,'Loan Repayment Input Sheet'!B325)&gt;0,0,"")</f>
        <v/>
      </c>
      <c r="E325" s="27"/>
      <c r="F325" s="10">
        <f t="shared" si="25"/>
        <v>0</v>
      </c>
      <c r="G325" s="29">
        <f t="shared" si="26"/>
        <v>0</v>
      </c>
      <c r="H325" s="12">
        <f t="shared" si="27"/>
        <v>0</v>
      </c>
      <c r="I325" s="12">
        <f t="shared" si="28"/>
        <v>0</v>
      </c>
      <c r="J325" s="29">
        <f t="shared" si="29"/>
        <v>0</v>
      </c>
      <c r="K325" s="41"/>
      <c r="L325" s="41"/>
      <c r="M325" s="41"/>
      <c r="N325" s="41"/>
    </row>
    <row r="326" spans="1:14" x14ac:dyDescent="0.2">
      <c r="B326" s="1">
        <v>306</v>
      </c>
      <c r="C326" s="13">
        <f t="shared" si="24"/>
        <v>53782</v>
      </c>
      <c r="D326" s="46" t="str">
        <f>IF(COUNTIFS('PAYG INDICATIVE OPTIONS'!$U$4:$X$9,'Loan Repayment Input Sheet'!B326)&gt;0,0,"")</f>
        <v/>
      </c>
      <c r="E326" s="27"/>
      <c r="F326" s="10">
        <f t="shared" si="25"/>
        <v>0</v>
      </c>
      <c r="G326" s="29">
        <f t="shared" si="26"/>
        <v>0</v>
      </c>
      <c r="H326" s="12">
        <f t="shared" si="27"/>
        <v>0</v>
      </c>
      <c r="I326" s="12">
        <f t="shared" si="28"/>
        <v>0</v>
      </c>
      <c r="J326" s="29">
        <f t="shared" si="29"/>
        <v>0</v>
      </c>
      <c r="K326" s="41"/>
      <c r="L326" s="41"/>
      <c r="M326" s="41"/>
      <c r="N326" s="41"/>
    </row>
    <row r="327" spans="1:14" x14ac:dyDescent="0.2">
      <c r="B327" s="1">
        <v>307</v>
      </c>
      <c r="C327" s="13">
        <f t="shared" si="24"/>
        <v>53812</v>
      </c>
      <c r="D327" s="46" t="str">
        <f>IF(COUNTIFS('PAYG INDICATIVE OPTIONS'!$U$4:$X$9,'Loan Repayment Input Sheet'!B327)&gt;0,0,"")</f>
        <v/>
      </c>
      <c r="E327" s="27"/>
      <c r="F327" s="10">
        <f t="shared" si="25"/>
        <v>0</v>
      </c>
      <c r="G327" s="29">
        <f t="shared" si="26"/>
        <v>0</v>
      </c>
      <c r="H327" s="12">
        <f t="shared" si="27"/>
        <v>0</v>
      </c>
      <c r="I327" s="12">
        <f t="shared" si="28"/>
        <v>0</v>
      </c>
      <c r="J327" s="29">
        <f t="shared" si="29"/>
        <v>0</v>
      </c>
      <c r="K327" s="41"/>
      <c r="L327" s="41"/>
      <c r="M327" s="41"/>
      <c r="N327" s="41"/>
    </row>
    <row r="328" spans="1:14" x14ac:dyDescent="0.2">
      <c r="B328" s="1">
        <v>308</v>
      </c>
      <c r="C328" s="13">
        <f t="shared" si="24"/>
        <v>53843</v>
      </c>
      <c r="D328" s="46" t="str">
        <f>IF(COUNTIFS('PAYG INDICATIVE OPTIONS'!$U$4:$X$9,'Loan Repayment Input Sheet'!B328)&gt;0,0,"")</f>
        <v/>
      </c>
      <c r="E328" s="27"/>
      <c r="F328" s="10">
        <f t="shared" si="25"/>
        <v>0</v>
      </c>
      <c r="G328" s="29">
        <f t="shared" si="26"/>
        <v>0</v>
      </c>
      <c r="H328" s="12">
        <f t="shared" si="27"/>
        <v>0</v>
      </c>
      <c r="I328" s="12">
        <f t="shared" si="28"/>
        <v>0</v>
      </c>
      <c r="J328" s="29">
        <f t="shared" si="29"/>
        <v>0</v>
      </c>
      <c r="K328" s="41"/>
      <c r="L328" s="41"/>
      <c r="M328" s="41"/>
      <c r="N328" s="41"/>
    </row>
    <row r="329" spans="1:14" x14ac:dyDescent="0.2">
      <c r="B329" s="1">
        <v>309</v>
      </c>
      <c r="C329" s="13">
        <f t="shared" si="24"/>
        <v>53873</v>
      </c>
      <c r="D329" s="46" t="str">
        <f>IF(COUNTIFS('PAYG INDICATIVE OPTIONS'!$U$4:$X$9,'Loan Repayment Input Sheet'!B329)&gt;0,0,"")</f>
        <v/>
      </c>
      <c r="E329" s="27"/>
      <c r="F329" s="10">
        <f t="shared" si="25"/>
        <v>0</v>
      </c>
      <c r="G329" s="29">
        <f t="shared" si="26"/>
        <v>0</v>
      </c>
      <c r="H329" s="12">
        <f t="shared" si="27"/>
        <v>0</v>
      </c>
      <c r="I329" s="12">
        <f t="shared" si="28"/>
        <v>0</v>
      </c>
      <c r="J329" s="29">
        <f t="shared" si="29"/>
        <v>0</v>
      </c>
      <c r="K329" s="41"/>
      <c r="L329" s="41"/>
      <c r="M329" s="41"/>
      <c r="N329" s="41"/>
    </row>
    <row r="330" spans="1:14" x14ac:dyDescent="0.2">
      <c r="B330" s="1">
        <v>310</v>
      </c>
      <c r="C330" s="13">
        <f t="shared" si="24"/>
        <v>53904</v>
      </c>
      <c r="D330" s="46" t="str">
        <f>IF(COUNTIFS('PAYG INDICATIVE OPTIONS'!$U$4:$X$9,'Loan Repayment Input Sheet'!B330)&gt;0,0,"")</f>
        <v/>
      </c>
      <c r="E330" s="27"/>
      <c r="F330" s="10">
        <f t="shared" si="25"/>
        <v>0</v>
      </c>
      <c r="G330" s="29">
        <f t="shared" si="26"/>
        <v>0</v>
      </c>
      <c r="H330" s="12">
        <f t="shared" si="27"/>
        <v>0</v>
      </c>
      <c r="I330" s="12">
        <f t="shared" si="28"/>
        <v>0</v>
      </c>
      <c r="J330" s="29">
        <f t="shared" si="29"/>
        <v>0</v>
      </c>
      <c r="K330" s="41"/>
      <c r="L330" s="41"/>
      <c r="M330" s="41"/>
      <c r="N330" s="41"/>
    </row>
    <row r="331" spans="1:14" x14ac:dyDescent="0.2">
      <c r="B331" s="1">
        <v>311</v>
      </c>
      <c r="C331" s="13">
        <f t="shared" si="24"/>
        <v>53935</v>
      </c>
      <c r="D331" s="46" t="str">
        <f>IF(COUNTIFS('PAYG INDICATIVE OPTIONS'!$U$4:$X$9,'Loan Repayment Input Sheet'!B331)&gt;0,0,"")</f>
        <v/>
      </c>
      <c r="E331" s="27"/>
      <c r="F331" s="10">
        <f t="shared" si="25"/>
        <v>0</v>
      </c>
      <c r="G331" s="29">
        <f t="shared" si="26"/>
        <v>0</v>
      </c>
      <c r="H331" s="12">
        <f t="shared" si="27"/>
        <v>0</v>
      </c>
      <c r="I331" s="12">
        <f t="shared" si="28"/>
        <v>0</v>
      </c>
      <c r="J331" s="29">
        <f t="shared" si="29"/>
        <v>0</v>
      </c>
      <c r="K331" s="41"/>
      <c r="L331" s="41"/>
      <c r="M331" s="41"/>
      <c r="N331" s="41"/>
    </row>
    <row r="332" spans="1:14" x14ac:dyDescent="0.2">
      <c r="B332" s="1">
        <v>312</v>
      </c>
      <c r="C332" s="13">
        <f t="shared" si="24"/>
        <v>53965</v>
      </c>
      <c r="D332" s="46" t="str">
        <f>IF(COUNTIFS('PAYG INDICATIVE OPTIONS'!$U$4:$X$9,'Loan Repayment Input Sheet'!B332)&gt;0,0,"")</f>
        <v/>
      </c>
      <c r="E332" s="27"/>
      <c r="F332" s="10">
        <f t="shared" si="25"/>
        <v>0</v>
      </c>
      <c r="G332" s="29">
        <f t="shared" si="26"/>
        <v>0</v>
      </c>
      <c r="H332" s="12">
        <f t="shared" si="27"/>
        <v>0</v>
      </c>
      <c r="I332" s="12">
        <f t="shared" si="28"/>
        <v>0</v>
      </c>
      <c r="J332" s="29">
        <f t="shared" si="29"/>
        <v>0</v>
      </c>
      <c r="K332" s="41"/>
      <c r="L332" s="41"/>
      <c r="M332" s="41"/>
      <c r="N332" s="41"/>
    </row>
    <row r="333" spans="1:14" x14ac:dyDescent="0.2">
      <c r="A333" s="1">
        <f>IF($A$18=1,27,IF($A$18=3,""))</f>
        <v>27</v>
      </c>
      <c r="B333" s="1">
        <v>313</v>
      </c>
      <c r="C333" s="13">
        <f t="shared" si="24"/>
        <v>53996</v>
      </c>
      <c r="D333" s="46" t="str">
        <f>IF(COUNTIFS('PAYG INDICATIVE OPTIONS'!$U$4:$X$9,'Loan Repayment Input Sheet'!B333)&gt;0,0,"")</f>
        <v/>
      </c>
      <c r="E333" s="27"/>
      <c r="F333" s="10">
        <f t="shared" si="25"/>
        <v>0</v>
      </c>
      <c r="G333" s="29">
        <f t="shared" si="26"/>
        <v>0</v>
      </c>
      <c r="H333" s="12">
        <f t="shared" si="27"/>
        <v>0</v>
      </c>
      <c r="I333" s="12">
        <f t="shared" si="28"/>
        <v>0</v>
      </c>
      <c r="J333" s="29">
        <f t="shared" si="29"/>
        <v>0</v>
      </c>
      <c r="K333" s="41"/>
      <c r="L333" s="41"/>
      <c r="M333" s="41"/>
      <c r="N333" s="41"/>
    </row>
    <row r="334" spans="1:14" x14ac:dyDescent="0.2">
      <c r="B334" s="1">
        <v>314</v>
      </c>
      <c r="C334" s="13">
        <f t="shared" si="24"/>
        <v>54026</v>
      </c>
      <c r="D334" s="46" t="str">
        <f>IF(COUNTIFS('PAYG INDICATIVE OPTIONS'!$U$4:$X$9,'Loan Repayment Input Sheet'!B334)&gt;0,0,"")</f>
        <v/>
      </c>
      <c r="E334" s="27"/>
      <c r="F334" s="10">
        <f t="shared" si="25"/>
        <v>0</v>
      </c>
      <c r="G334" s="29">
        <f t="shared" si="26"/>
        <v>0</v>
      </c>
      <c r="H334" s="12">
        <f t="shared" si="27"/>
        <v>0</v>
      </c>
      <c r="I334" s="12">
        <f t="shared" si="28"/>
        <v>0</v>
      </c>
      <c r="J334" s="29">
        <f t="shared" si="29"/>
        <v>0</v>
      </c>
      <c r="K334" s="41"/>
      <c r="L334" s="41"/>
      <c r="M334" s="41"/>
      <c r="N334" s="41"/>
    </row>
    <row r="335" spans="1:14" x14ac:dyDescent="0.2">
      <c r="B335" s="1">
        <v>315</v>
      </c>
      <c r="C335" s="13">
        <f t="shared" si="24"/>
        <v>54057</v>
      </c>
      <c r="D335" s="46" t="str">
        <f>IF(COUNTIFS('PAYG INDICATIVE OPTIONS'!$U$4:$X$9,'Loan Repayment Input Sheet'!B335)&gt;0,0,"")</f>
        <v/>
      </c>
      <c r="E335" s="27"/>
      <c r="F335" s="10">
        <f t="shared" si="25"/>
        <v>0</v>
      </c>
      <c r="G335" s="29">
        <f t="shared" si="26"/>
        <v>0</v>
      </c>
      <c r="H335" s="12">
        <f t="shared" si="27"/>
        <v>0</v>
      </c>
      <c r="I335" s="12">
        <f t="shared" si="28"/>
        <v>0</v>
      </c>
      <c r="J335" s="29">
        <f t="shared" si="29"/>
        <v>0</v>
      </c>
      <c r="K335" s="41"/>
      <c r="L335" s="41"/>
      <c r="M335" s="41"/>
      <c r="N335" s="41"/>
    </row>
    <row r="336" spans="1:14" x14ac:dyDescent="0.2">
      <c r="B336" s="1">
        <v>316</v>
      </c>
      <c r="C336" s="13">
        <f t="shared" si="24"/>
        <v>54088</v>
      </c>
      <c r="D336" s="46" t="str">
        <f>IF(COUNTIFS('PAYG INDICATIVE OPTIONS'!$U$4:$X$9,'Loan Repayment Input Sheet'!B336)&gt;0,0,"")</f>
        <v/>
      </c>
      <c r="E336" s="27"/>
      <c r="F336" s="10">
        <f t="shared" si="25"/>
        <v>0</v>
      </c>
      <c r="G336" s="29">
        <f t="shared" si="26"/>
        <v>0</v>
      </c>
      <c r="H336" s="12">
        <f t="shared" si="27"/>
        <v>0</v>
      </c>
      <c r="I336" s="12">
        <f t="shared" si="28"/>
        <v>0</v>
      </c>
      <c r="J336" s="29">
        <f t="shared" si="29"/>
        <v>0</v>
      </c>
      <c r="K336" s="41"/>
      <c r="L336" s="41"/>
      <c r="M336" s="41"/>
      <c r="N336" s="41"/>
    </row>
    <row r="337" spans="1:14" x14ac:dyDescent="0.2">
      <c r="B337" s="1">
        <v>317</v>
      </c>
      <c r="C337" s="13">
        <f t="shared" si="24"/>
        <v>54117</v>
      </c>
      <c r="D337" s="46" t="str">
        <f>IF(COUNTIFS('PAYG INDICATIVE OPTIONS'!$U$4:$X$9,'Loan Repayment Input Sheet'!B337)&gt;0,0,"")</f>
        <v/>
      </c>
      <c r="E337" s="27"/>
      <c r="F337" s="10">
        <f t="shared" si="25"/>
        <v>0</v>
      </c>
      <c r="G337" s="29">
        <f t="shared" si="26"/>
        <v>0</v>
      </c>
      <c r="H337" s="12">
        <f t="shared" si="27"/>
        <v>0</v>
      </c>
      <c r="I337" s="12">
        <f t="shared" si="28"/>
        <v>0</v>
      </c>
      <c r="J337" s="29">
        <f t="shared" si="29"/>
        <v>0</v>
      </c>
      <c r="K337" s="41"/>
      <c r="L337" s="41"/>
      <c r="M337" s="41"/>
      <c r="N337" s="41"/>
    </row>
    <row r="338" spans="1:14" x14ac:dyDescent="0.2">
      <c r="B338" s="1">
        <v>318</v>
      </c>
      <c r="C338" s="13">
        <f t="shared" ref="C338:C380" si="30">EOMONTH(C337,$A$18)</f>
        <v>54148</v>
      </c>
      <c r="D338" s="46" t="str">
        <f>IF(COUNTIFS('PAYG INDICATIVE OPTIONS'!$U$4:$X$9,'Loan Repayment Input Sheet'!B338)&gt;0,0,"")</f>
        <v/>
      </c>
      <c r="E338" s="27"/>
      <c r="F338" s="10">
        <f t="shared" si="25"/>
        <v>0</v>
      </c>
      <c r="G338" s="29">
        <f t="shared" si="26"/>
        <v>0</v>
      </c>
      <c r="H338" s="12">
        <f t="shared" si="27"/>
        <v>0</v>
      </c>
      <c r="I338" s="12">
        <f t="shared" si="28"/>
        <v>0</v>
      </c>
      <c r="J338" s="29">
        <f t="shared" si="29"/>
        <v>0</v>
      </c>
      <c r="K338" s="41"/>
      <c r="L338" s="41"/>
      <c r="M338" s="41"/>
      <c r="N338" s="41"/>
    </row>
    <row r="339" spans="1:14" x14ac:dyDescent="0.2">
      <c r="B339" s="1">
        <v>319</v>
      </c>
      <c r="C339" s="13">
        <f t="shared" si="30"/>
        <v>54178</v>
      </c>
      <c r="D339" s="46" t="str">
        <f>IF(COUNTIFS('PAYG INDICATIVE OPTIONS'!$U$4:$X$9,'Loan Repayment Input Sheet'!B339)&gt;0,0,"")</f>
        <v/>
      </c>
      <c r="E339" s="27"/>
      <c r="F339" s="10">
        <f t="shared" si="25"/>
        <v>0</v>
      </c>
      <c r="G339" s="29">
        <f t="shared" si="26"/>
        <v>0</v>
      </c>
      <c r="H339" s="12">
        <f t="shared" si="27"/>
        <v>0</v>
      </c>
      <c r="I339" s="12">
        <f t="shared" si="28"/>
        <v>0</v>
      </c>
      <c r="J339" s="29">
        <f t="shared" si="29"/>
        <v>0</v>
      </c>
      <c r="K339" s="41"/>
      <c r="L339" s="41"/>
      <c r="M339" s="41"/>
      <c r="N339" s="41"/>
    </row>
    <row r="340" spans="1:14" x14ac:dyDescent="0.2">
      <c r="B340" s="1">
        <v>320</v>
      </c>
      <c r="C340" s="13">
        <f t="shared" si="30"/>
        <v>54209</v>
      </c>
      <c r="D340" s="46" t="str">
        <f>IF(COUNTIFS('PAYG INDICATIVE OPTIONS'!$U$4:$X$9,'Loan Repayment Input Sheet'!B340)&gt;0,0,"")</f>
        <v/>
      </c>
      <c r="E340" s="27"/>
      <c r="F340" s="10">
        <f t="shared" si="25"/>
        <v>0</v>
      </c>
      <c r="G340" s="29">
        <f t="shared" si="26"/>
        <v>0</v>
      </c>
      <c r="H340" s="12">
        <f t="shared" si="27"/>
        <v>0</v>
      </c>
      <c r="I340" s="12">
        <f t="shared" si="28"/>
        <v>0</v>
      </c>
      <c r="J340" s="29">
        <f t="shared" si="29"/>
        <v>0</v>
      </c>
      <c r="K340" s="41"/>
      <c r="L340" s="41"/>
      <c r="M340" s="41"/>
      <c r="N340" s="41"/>
    </row>
    <row r="341" spans="1:14" x14ac:dyDescent="0.2">
      <c r="B341" s="1">
        <v>321</v>
      </c>
      <c r="C341" s="13">
        <f t="shared" si="30"/>
        <v>54239</v>
      </c>
      <c r="D341" s="46" t="str">
        <f>IF(COUNTIFS('PAYG INDICATIVE OPTIONS'!$U$4:$X$9,'Loan Repayment Input Sheet'!B341)&gt;0,0,"")</f>
        <v/>
      </c>
      <c r="E341" s="27"/>
      <c r="F341" s="10">
        <f t="shared" ref="F341:F384" si="31">IF(AND($H$10="Yes",$C341&lt;$H$11),J340*$H$12/$M$5,J340*$M$8/$M$5)</f>
        <v>0</v>
      </c>
      <c r="G341" s="29">
        <f t="shared" ref="G341:G384" si="32">IF(E341="",IF(AND($H$10="Yes",$C341&lt;$H$11),J340*$H$12/$M$5,J340*$M$8/$M$5),E341)</f>
        <v>0</v>
      </c>
      <c r="H341" s="12">
        <f t="shared" si="27"/>
        <v>0</v>
      </c>
      <c r="I341" s="12">
        <f t="shared" si="28"/>
        <v>0</v>
      </c>
      <c r="J341" s="29">
        <f t="shared" si="29"/>
        <v>0</v>
      </c>
      <c r="K341" s="41"/>
      <c r="L341" s="41"/>
      <c r="M341" s="41"/>
      <c r="N341" s="41"/>
    </row>
    <row r="342" spans="1:14" x14ac:dyDescent="0.2">
      <c r="B342" s="1">
        <v>322</v>
      </c>
      <c r="C342" s="13">
        <f t="shared" si="30"/>
        <v>54270</v>
      </c>
      <c r="D342" s="46" t="str">
        <f>IF(COUNTIFS('PAYG INDICATIVE OPTIONS'!$U$4:$X$9,'Loan Repayment Input Sheet'!B342)&gt;0,0,"")</f>
        <v/>
      </c>
      <c r="E342" s="27"/>
      <c r="F342" s="10">
        <f t="shared" si="31"/>
        <v>0</v>
      </c>
      <c r="G342" s="29">
        <f t="shared" si="32"/>
        <v>0</v>
      </c>
      <c r="H342" s="12">
        <f t="shared" ref="H342:H384" si="33">IF(D342="",I342-G342,D342)</f>
        <v>0</v>
      </c>
      <c r="I342" s="12">
        <f t="shared" ref="I342:I384" si="34">IF(D342&lt;&gt;"",
D342+G342,
IF($H$14&lt;&gt;"",
$H$14,
IF($H$15&lt;&gt;"",
$H$15+G342,
IF(AND($H$10="Yes",$C342&lt;$H$11),
IF(ISERROR(ABS(PMT($H$12/$M$5,$M$6-B341,J341))),0,ABS(PMT($H$12/$M$5,$M$6-B341,J341))),
IF(ISERROR(ABS(PMT($M$8/$M$5,$M$6-B341,J341))),0,ABS(PMT($M$8/$M$5,$M$6-B341,J341)))))))</f>
        <v>0</v>
      </c>
      <c r="J342" s="29">
        <f t="shared" ref="J342:J384" si="35">J341-(I342-F342)</f>
        <v>0</v>
      </c>
      <c r="K342" s="41"/>
      <c r="L342" s="41"/>
      <c r="M342" s="41"/>
      <c r="N342" s="41"/>
    </row>
    <row r="343" spans="1:14" x14ac:dyDescent="0.2">
      <c r="B343" s="1">
        <v>323</v>
      </c>
      <c r="C343" s="13">
        <f t="shared" si="30"/>
        <v>54301</v>
      </c>
      <c r="D343" s="46" t="str">
        <f>IF(COUNTIFS('PAYG INDICATIVE OPTIONS'!$U$4:$X$9,'Loan Repayment Input Sheet'!B343)&gt;0,0,"")</f>
        <v/>
      </c>
      <c r="E343" s="27"/>
      <c r="F343" s="10">
        <f t="shared" si="31"/>
        <v>0</v>
      </c>
      <c r="G343" s="29">
        <f t="shared" si="32"/>
        <v>0</v>
      </c>
      <c r="H343" s="12">
        <f t="shared" si="33"/>
        <v>0</v>
      </c>
      <c r="I343" s="12">
        <f t="shared" si="34"/>
        <v>0</v>
      </c>
      <c r="J343" s="29">
        <f t="shared" si="35"/>
        <v>0</v>
      </c>
      <c r="K343" s="41"/>
      <c r="L343" s="41"/>
      <c r="M343" s="41"/>
      <c r="N343" s="41"/>
    </row>
    <row r="344" spans="1:14" x14ac:dyDescent="0.2">
      <c r="B344" s="1">
        <v>324</v>
      </c>
      <c r="C344" s="13">
        <f t="shared" si="30"/>
        <v>54331</v>
      </c>
      <c r="D344" s="46" t="str">
        <f>IF(COUNTIFS('PAYG INDICATIVE OPTIONS'!$U$4:$X$9,'Loan Repayment Input Sheet'!B344)&gt;0,0,"")</f>
        <v/>
      </c>
      <c r="E344" s="27"/>
      <c r="F344" s="10">
        <f t="shared" si="31"/>
        <v>0</v>
      </c>
      <c r="G344" s="29">
        <f t="shared" si="32"/>
        <v>0</v>
      </c>
      <c r="H344" s="12">
        <f t="shared" si="33"/>
        <v>0</v>
      </c>
      <c r="I344" s="12">
        <f t="shared" si="34"/>
        <v>0</v>
      </c>
      <c r="J344" s="29">
        <f t="shared" si="35"/>
        <v>0</v>
      </c>
      <c r="K344" s="41"/>
      <c r="L344" s="41"/>
      <c r="M344" s="41"/>
      <c r="N344" s="41"/>
    </row>
    <row r="345" spans="1:14" x14ac:dyDescent="0.2">
      <c r="A345" s="1">
        <f>IF($A$18=1,28,IF($A$18=3,""))</f>
        <v>28</v>
      </c>
      <c r="B345" s="1">
        <v>325</v>
      </c>
      <c r="C345" s="13">
        <f t="shared" si="30"/>
        <v>54362</v>
      </c>
      <c r="D345" s="46" t="str">
        <f>IF(COUNTIFS('PAYG INDICATIVE OPTIONS'!$U$4:$X$9,'Loan Repayment Input Sheet'!B345)&gt;0,0,"")</f>
        <v/>
      </c>
      <c r="E345" s="27"/>
      <c r="F345" s="10">
        <f t="shared" si="31"/>
        <v>0</v>
      </c>
      <c r="G345" s="29">
        <f t="shared" si="32"/>
        <v>0</v>
      </c>
      <c r="H345" s="12">
        <f t="shared" si="33"/>
        <v>0</v>
      </c>
      <c r="I345" s="12">
        <f t="shared" si="34"/>
        <v>0</v>
      </c>
      <c r="J345" s="29">
        <f t="shared" si="35"/>
        <v>0</v>
      </c>
      <c r="K345" s="41"/>
      <c r="L345" s="41"/>
      <c r="M345" s="41"/>
      <c r="N345" s="41"/>
    </row>
    <row r="346" spans="1:14" x14ac:dyDescent="0.2">
      <c r="B346" s="1">
        <v>326</v>
      </c>
      <c r="C346" s="13">
        <f t="shared" si="30"/>
        <v>54392</v>
      </c>
      <c r="D346" s="46" t="str">
        <f>IF(COUNTIFS('PAYG INDICATIVE OPTIONS'!$U$4:$X$9,'Loan Repayment Input Sheet'!B346)&gt;0,0,"")</f>
        <v/>
      </c>
      <c r="E346" s="27"/>
      <c r="F346" s="10">
        <f t="shared" si="31"/>
        <v>0</v>
      </c>
      <c r="G346" s="29">
        <f t="shared" si="32"/>
        <v>0</v>
      </c>
      <c r="H346" s="12">
        <f t="shared" si="33"/>
        <v>0</v>
      </c>
      <c r="I346" s="12">
        <f t="shared" si="34"/>
        <v>0</v>
      </c>
      <c r="J346" s="29">
        <f t="shared" si="35"/>
        <v>0</v>
      </c>
      <c r="K346" s="41"/>
      <c r="L346" s="41"/>
      <c r="M346" s="41"/>
      <c r="N346" s="41"/>
    </row>
    <row r="347" spans="1:14" x14ac:dyDescent="0.2">
      <c r="B347" s="1">
        <v>327</v>
      </c>
      <c r="C347" s="13">
        <f t="shared" si="30"/>
        <v>54423</v>
      </c>
      <c r="D347" s="46" t="str">
        <f>IF(COUNTIFS('PAYG INDICATIVE OPTIONS'!$U$4:$X$9,'Loan Repayment Input Sheet'!B347)&gt;0,0,"")</f>
        <v/>
      </c>
      <c r="E347" s="27"/>
      <c r="F347" s="10">
        <f t="shared" si="31"/>
        <v>0</v>
      </c>
      <c r="G347" s="29">
        <f t="shared" si="32"/>
        <v>0</v>
      </c>
      <c r="H347" s="12">
        <f t="shared" si="33"/>
        <v>0</v>
      </c>
      <c r="I347" s="12">
        <f t="shared" si="34"/>
        <v>0</v>
      </c>
      <c r="J347" s="29">
        <f t="shared" si="35"/>
        <v>0</v>
      </c>
      <c r="K347" s="41"/>
      <c r="L347" s="41"/>
      <c r="M347" s="41"/>
      <c r="N347" s="41"/>
    </row>
    <row r="348" spans="1:14" x14ac:dyDescent="0.2">
      <c r="B348" s="1">
        <v>328</v>
      </c>
      <c r="C348" s="13">
        <f t="shared" si="30"/>
        <v>54454</v>
      </c>
      <c r="D348" s="46" t="str">
        <f>IF(COUNTIFS('PAYG INDICATIVE OPTIONS'!$U$4:$X$9,'Loan Repayment Input Sheet'!B348)&gt;0,0,"")</f>
        <v/>
      </c>
      <c r="E348" s="27"/>
      <c r="F348" s="10">
        <f t="shared" si="31"/>
        <v>0</v>
      </c>
      <c r="G348" s="29">
        <f t="shared" si="32"/>
        <v>0</v>
      </c>
      <c r="H348" s="12">
        <f t="shared" si="33"/>
        <v>0</v>
      </c>
      <c r="I348" s="12">
        <f t="shared" si="34"/>
        <v>0</v>
      </c>
      <c r="J348" s="29">
        <f t="shared" si="35"/>
        <v>0</v>
      </c>
      <c r="K348" s="41"/>
      <c r="L348" s="41"/>
      <c r="M348" s="41"/>
      <c r="N348" s="41"/>
    </row>
    <row r="349" spans="1:14" x14ac:dyDescent="0.2">
      <c r="B349" s="1">
        <v>329</v>
      </c>
      <c r="C349" s="13">
        <f t="shared" si="30"/>
        <v>54482</v>
      </c>
      <c r="D349" s="46" t="str">
        <f>IF(COUNTIFS('PAYG INDICATIVE OPTIONS'!$U$4:$X$9,'Loan Repayment Input Sheet'!B349)&gt;0,0,"")</f>
        <v/>
      </c>
      <c r="E349" s="27"/>
      <c r="F349" s="10">
        <f t="shared" si="31"/>
        <v>0</v>
      </c>
      <c r="G349" s="29">
        <f t="shared" si="32"/>
        <v>0</v>
      </c>
      <c r="H349" s="12">
        <f t="shared" si="33"/>
        <v>0</v>
      </c>
      <c r="I349" s="12">
        <f t="shared" si="34"/>
        <v>0</v>
      </c>
      <c r="J349" s="29">
        <f t="shared" si="35"/>
        <v>0</v>
      </c>
      <c r="K349" s="41"/>
      <c r="L349" s="41"/>
      <c r="M349" s="41"/>
      <c r="N349" s="41"/>
    </row>
    <row r="350" spans="1:14" x14ac:dyDescent="0.2">
      <c r="B350" s="1">
        <v>330</v>
      </c>
      <c r="C350" s="13">
        <f t="shared" si="30"/>
        <v>54513</v>
      </c>
      <c r="D350" s="46" t="str">
        <f>IF(COUNTIFS('PAYG INDICATIVE OPTIONS'!$U$4:$X$9,'Loan Repayment Input Sheet'!B350)&gt;0,0,"")</f>
        <v/>
      </c>
      <c r="E350" s="27"/>
      <c r="F350" s="10">
        <f t="shared" si="31"/>
        <v>0</v>
      </c>
      <c r="G350" s="29">
        <f t="shared" si="32"/>
        <v>0</v>
      </c>
      <c r="H350" s="12">
        <f t="shared" si="33"/>
        <v>0</v>
      </c>
      <c r="I350" s="12">
        <f t="shared" si="34"/>
        <v>0</v>
      </c>
      <c r="J350" s="29">
        <f t="shared" si="35"/>
        <v>0</v>
      </c>
      <c r="K350" s="41"/>
      <c r="L350" s="41"/>
      <c r="M350" s="41"/>
      <c r="N350" s="41"/>
    </row>
    <row r="351" spans="1:14" x14ac:dyDescent="0.2">
      <c r="B351" s="1">
        <v>331</v>
      </c>
      <c r="C351" s="13">
        <f t="shared" si="30"/>
        <v>54543</v>
      </c>
      <c r="D351" s="46" t="str">
        <f>IF(COUNTIFS('PAYG INDICATIVE OPTIONS'!$U$4:$X$9,'Loan Repayment Input Sheet'!B351)&gt;0,0,"")</f>
        <v/>
      </c>
      <c r="E351" s="27"/>
      <c r="F351" s="10">
        <f t="shared" si="31"/>
        <v>0</v>
      </c>
      <c r="G351" s="29">
        <f t="shared" si="32"/>
        <v>0</v>
      </c>
      <c r="H351" s="12">
        <f t="shared" si="33"/>
        <v>0</v>
      </c>
      <c r="I351" s="12">
        <f t="shared" si="34"/>
        <v>0</v>
      </c>
      <c r="J351" s="29">
        <f t="shared" si="35"/>
        <v>0</v>
      </c>
      <c r="K351" s="41"/>
      <c r="L351" s="41"/>
      <c r="M351" s="41"/>
      <c r="N351" s="41"/>
    </row>
    <row r="352" spans="1:14" x14ac:dyDescent="0.2">
      <c r="B352" s="1">
        <v>332</v>
      </c>
      <c r="C352" s="13">
        <f t="shared" si="30"/>
        <v>54574</v>
      </c>
      <c r="D352" s="46" t="str">
        <f>IF(COUNTIFS('PAYG INDICATIVE OPTIONS'!$U$4:$X$9,'Loan Repayment Input Sheet'!B352)&gt;0,0,"")</f>
        <v/>
      </c>
      <c r="E352" s="27"/>
      <c r="F352" s="10">
        <f t="shared" si="31"/>
        <v>0</v>
      </c>
      <c r="G352" s="29">
        <f t="shared" si="32"/>
        <v>0</v>
      </c>
      <c r="H352" s="12">
        <f t="shared" si="33"/>
        <v>0</v>
      </c>
      <c r="I352" s="12">
        <f t="shared" si="34"/>
        <v>0</v>
      </c>
      <c r="J352" s="29">
        <f t="shared" si="35"/>
        <v>0</v>
      </c>
      <c r="K352" s="41"/>
      <c r="L352" s="41"/>
      <c r="M352" s="41"/>
      <c r="N352" s="41"/>
    </row>
    <row r="353" spans="1:14" x14ac:dyDescent="0.2">
      <c r="B353" s="1">
        <v>333</v>
      </c>
      <c r="C353" s="13">
        <f t="shared" si="30"/>
        <v>54604</v>
      </c>
      <c r="D353" s="46" t="str">
        <f>IF(COUNTIFS('PAYG INDICATIVE OPTIONS'!$U$4:$X$9,'Loan Repayment Input Sheet'!B353)&gt;0,0,"")</f>
        <v/>
      </c>
      <c r="E353" s="27"/>
      <c r="F353" s="10">
        <f t="shared" si="31"/>
        <v>0</v>
      </c>
      <c r="G353" s="29">
        <f t="shared" si="32"/>
        <v>0</v>
      </c>
      <c r="H353" s="12">
        <f t="shared" si="33"/>
        <v>0</v>
      </c>
      <c r="I353" s="12">
        <f t="shared" si="34"/>
        <v>0</v>
      </c>
      <c r="J353" s="29">
        <f t="shared" si="35"/>
        <v>0</v>
      </c>
      <c r="K353" s="41"/>
      <c r="L353" s="41"/>
      <c r="M353" s="41"/>
      <c r="N353" s="41"/>
    </row>
    <row r="354" spans="1:14" x14ac:dyDescent="0.2">
      <c r="B354" s="1">
        <v>334</v>
      </c>
      <c r="C354" s="13">
        <f t="shared" si="30"/>
        <v>54635</v>
      </c>
      <c r="D354" s="46" t="str">
        <f>IF(COUNTIFS('PAYG INDICATIVE OPTIONS'!$U$4:$X$9,'Loan Repayment Input Sheet'!B354)&gt;0,0,"")</f>
        <v/>
      </c>
      <c r="E354" s="27"/>
      <c r="F354" s="10">
        <f t="shared" si="31"/>
        <v>0</v>
      </c>
      <c r="G354" s="29">
        <f t="shared" si="32"/>
        <v>0</v>
      </c>
      <c r="H354" s="12">
        <f t="shared" si="33"/>
        <v>0</v>
      </c>
      <c r="I354" s="12">
        <f t="shared" si="34"/>
        <v>0</v>
      </c>
      <c r="J354" s="29">
        <f t="shared" si="35"/>
        <v>0</v>
      </c>
      <c r="K354" s="41"/>
      <c r="L354" s="41"/>
      <c r="M354" s="41"/>
      <c r="N354" s="41"/>
    </row>
    <row r="355" spans="1:14" x14ac:dyDescent="0.2">
      <c r="B355" s="1">
        <v>335</v>
      </c>
      <c r="C355" s="13">
        <f t="shared" si="30"/>
        <v>54666</v>
      </c>
      <c r="D355" s="46" t="str">
        <f>IF(COUNTIFS('PAYG INDICATIVE OPTIONS'!$U$4:$X$9,'Loan Repayment Input Sheet'!B355)&gt;0,0,"")</f>
        <v/>
      </c>
      <c r="E355" s="27"/>
      <c r="F355" s="10">
        <f t="shared" si="31"/>
        <v>0</v>
      </c>
      <c r="G355" s="29">
        <f t="shared" si="32"/>
        <v>0</v>
      </c>
      <c r="H355" s="12">
        <f t="shared" si="33"/>
        <v>0</v>
      </c>
      <c r="I355" s="12">
        <f t="shared" si="34"/>
        <v>0</v>
      </c>
      <c r="J355" s="29">
        <f t="shared" si="35"/>
        <v>0</v>
      </c>
      <c r="K355" s="41"/>
      <c r="L355" s="41"/>
      <c r="M355" s="41"/>
      <c r="N355" s="41"/>
    </row>
    <row r="356" spans="1:14" x14ac:dyDescent="0.2">
      <c r="B356" s="1">
        <v>336</v>
      </c>
      <c r="C356" s="13">
        <f t="shared" si="30"/>
        <v>54696</v>
      </c>
      <c r="D356" s="46" t="str">
        <f>IF(COUNTIFS('PAYG INDICATIVE OPTIONS'!$U$4:$X$9,'Loan Repayment Input Sheet'!B356)&gt;0,0,"")</f>
        <v/>
      </c>
      <c r="E356" s="27"/>
      <c r="F356" s="10">
        <f t="shared" si="31"/>
        <v>0</v>
      </c>
      <c r="G356" s="29">
        <f t="shared" si="32"/>
        <v>0</v>
      </c>
      <c r="H356" s="12">
        <f t="shared" si="33"/>
        <v>0</v>
      </c>
      <c r="I356" s="12">
        <f t="shared" si="34"/>
        <v>0</v>
      </c>
      <c r="J356" s="29">
        <f t="shared" si="35"/>
        <v>0</v>
      </c>
      <c r="K356" s="41"/>
      <c r="L356" s="41"/>
      <c r="M356" s="41"/>
      <c r="N356" s="41"/>
    </row>
    <row r="357" spans="1:14" x14ac:dyDescent="0.2">
      <c r="A357" s="1">
        <f>IF($A$18=1,29,IF($A$18=3,""))</f>
        <v>29</v>
      </c>
      <c r="B357" s="1">
        <v>337</v>
      </c>
      <c r="C357" s="13">
        <f t="shared" si="30"/>
        <v>54727</v>
      </c>
      <c r="D357" s="46" t="str">
        <f>IF(COUNTIFS('PAYG INDICATIVE OPTIONS'!$U$4:$X$9,'Loan Repayment Input Sheet'!B357)&gt;0,0,"")</f>
        <v/>
      </c>
      <c r="E357" s="27"/>
      <c r="F357" s="10">
        <f t="shared" si="31"/>
        <v>0</v>
      </c>
      <c r="G357" s="29">
        <f t="shared" si="32"/>
        <v>0</v>
      </c>
      <c r="H357" s="12">
        <f t="shared" si="33"/>
        <v>0</v>
      </c>
      <c r="I357" s="12">
        <f t="shared" si="34"/>
        <v>0</v>
      </c>
      <c r="J357" s="29">
        <f t="shared" si="35"/>
        <v>0</v>
      </c>
      <c r="K357" s="41"/>
      <c r="L357" s="41"/>
      <c r="M357" s="41"/>
      <c r="N357" s="41"/>
    </row>
    <row r="358" spans="1:14" x14ac:dyDescent="0.2">
      <c r="B358" s="1">
        <v>338</v>
      </c>
      <c r="C358" s="13">
        <f t="shared" si="30"/>
        <v>54757</v>
      </c>
      <c r="D358" s="46" t="str">
        <f>IF(COUNTIFS('PAYG INDICATIVE OPTIONS'!$U$4:$X$9,'Loan Repayment Input Sheet'!B358)&gt;0,0,"")</f>
        <v/>
      </c>
      <c r="E358" s="27"/>
      <c r="F358" s="10">
        <f t="shared" si="31"/>
        <v>0</v>
      </c>
      <c r="G358" s="29">
        <f t="shared" si="32"/>
        <v>0</v>
      </c>
      <c r="H358" s="12">
        <f t="shared" si="33"/>
        <v>0</v>
      </c>
      <c r="I358" s="12">
        <f t="shared" si="34"/>
        <v>0</v>
      </c>
      <c r="J358" s="29">
        <f t="shared" si="35"/>
        <v>0</v>
      </c>
      <c r="K358" s="41"/>
      <c r="L358" s="41"/>
      <c r="M358" s="41"/>
      <c r="N358" s="41"/>
    </row>
    <row r="359" spans="1:14" x14ac:dyDescent="0.2">
      <c r="B359" s="1">
        <v>339</v>
      </c>
      <c r="C359" s="13">
        <f t="shared" si="30"/>
        <v>54788</v>
      </c>
      <c r="D359" s="46" t="str">
        <f>IF(COUNTIFS('PAYG INDICATIVE OPTIONS'!$U$4:$X$9,'Loan Repayment Input Sheet'!B359)&gt;0,0,"")</f>
        <v/>
      </c>
      <c r="E359" s="27"/>
      <c r="F359" s="10">
        <f t="shared" si="31"/>
        <v>0</v>
      </c>
      <c r="G359" s="29">
        <f t="shared" si="32"/>
        <v>0</v>
      </c>
      <c r="H359" s="12">
        <f t="shared" si="33"/>
        <v>0</v>
      </c>
      <c r="I359" s="12">
        <f t="shared" si="34"/>
        <v>0</v>
      </c>
      <c r="J359" s="29">
        <f t="shared" si="35"/>
        <v>0</v>
      </c>
      <c r="K359" s="41"/>
      <c r="L359" s="41"/>
      <c r="M359" s="41"/>
      <c r="N359" s="41"/>
    </row>
    <row r="360" spans="1:14" x14ac:dyDescent="0.2">
      <c r="B360" s="1">
        <v>340</v>
      </c>
      <c r="C360" s="13">
        <f t="shared" si="30"/>
        <v>54819</v>
      </c>
      <c r="D360" s="46" t="str">
        <f>IF(COUNTIFS('PAYG INDICATIVE OPTIONS'!$U$4:$X$9,'Loan Repayment Input Sheet'!B360)&gt;0,0,"")</f>
        <v/>
      </c>
      <c r="E360" s="27"/>
      <c r="F360" s="10">
        <f t="shared" si="31"/>
        <v>0</v>
      </c>
      <c r="G360" s="29">
        <f t="shared" si="32"/>
        <v>0</v>
      </c>
      <c r="H360" s="12">
        <f t="shared" si="33"/>
        <v>0</v>
      </c>
      <c r="I360" s="12">
        <f t="shared" si="34"/>
        <v>0</v>
      </c>
      <c r="J360" s="29">
        <f t="shared" si="35"/>
        <v>0</v>
      </c>
      <c r="K360" s="41"/>
      <c r="L360" s="41"/>
      <c r="M360" s="41"/>
      <c r="N360" s="41"/>
    </row>
    <row r="361" spans="1:14" x14ac:dyDescent="0.2">
      <c r="B361" s="1">
        <v>341</v>
      </c>
      <c r="C361" s="13">
        <f t="shared" si="30"/>
        <v>54847</v>
      </c>
      <c r="D361" s="46" t="str">
        <f>IF(COUNTIFS('PAYG INDICATIVE OPTIONS'!$U$4:$X$9,'Loan Repayment Input Sheet'!B361)&gt;0,0,"")</f>
        <v/>
      </c>
      <c r="E361" s="27"/>
      <c r="F361" s="10">
        <f t="shared" si="31"/>
        <v>0</v>
      </c>
      <c r="G361" s="29">
        <f t="shared" si="32"/>
        <v>0</v>
      </c>
      <c r="H361" s="12">
        <f t="shared" si="33"/>
        <v>0</v>
      </c>
      <c r="I361" s="12">
        <f t="shared" si="34"/>
        <v>0</v>
      </c>
      <c r="J361" s="29">
        <f t="shared" si="35"/>
        <v>0</v>
      </c>
      <c r="K361" s="41"/>
      <c r="L361" s="41"/>
      <c r="M361" s="41"/>
      <c r="N361" s="41"/>
    </row>
    <row r="362" spans="1:14" x14ac:dyDescent="0.2">
      <c r="B362" s="1">
        <v>342</v>
      </c>
      <c r="C362" s="13">
        <f t="shared" si="30"/>
        <v>54878</v>
      </c>
      <c r="D362" s="46" t="str">
        <f>IF(COUNTIFS('PAYG INDICATIVE OPTIONS'!$U$4:$X$9,'Loan Repayment Input Sheet'!B362)&gt;0,0,"")</f>
        <v/>
      </c>
      <c r="E362" s="27"/>
      <c r="F362" s="10">
        <f t="shared" si="31"/>
        <v>0</v>
      </c>
      <c r="G362" s="29">
        <f t="shared" si="32"/>
        <v>0</v>
      </c>
      <c r="H362" s="12">
        <f t="shared" si="33"/>
        <v>0</v>
      </c>
      <c r="I362" s="12">
        <f t="shared" si="34"/>
        <v>0</v>
      </c>
      <c r="J362" s="29">
        <f t="shared" si="35"/>
        <v>0</v>
      </c>
      <c r="K362" s="41"/>
      <c r="L362" s="41"/>
      <c r="M362" s="41"/>
      <c r="N362" s="41"/>
    </row>
    <row r="363" spans="1:14" x14ac:dyDescent="0.2">
      <c r="B363" s="1">
        <v>343</v>
      </c>
      <c r="C363" s="13">
        <f t="shared" si="30"/>
        <v>54908</v>
      </c>
      <c r="D363" s="46" t="str">
        <f>IF(COUNTIFS('PAYG INDICATIVE OPTIONS'!$U$4:$X$9,'Loan Repayment Input Sheet'!B363)&gt;0,0,"")</f>
        <v/>
      </c>
      <c r="E363" s="27"/>
      <c r="F363" s="10">
        <f t="shared" si="31"/>
        <v>0</v>
      </c>
      <c r="G363" s="29">
        <f t="shared" si="32"/>
        <v>0</v>
      </c>
      <c r="H363" s="12">
        <f t="shared" si="33"/>
        <v>0</v>
      </c>
      <c r="I363" s="12">
        <f t="shared" si="34"/>
        <v>0</v>
      </c>
      <c r="J363" s="29">
        <f t="shared" si="35"/>
        <v>0</v>
      </c>
      <c r="K363" s="41"/>
      <c r="L363" s="41"/>
      <c r="M363" s="41"/>
      <c r="N363" s="41"/>
    </row>
    <row r="364" spans="1:14" x14ac:dyDescent="0.2">
      <c r="B364" s="1">
        <v>344</v>
      </c>
      <c r="C364" s="13">
        <f t="shared" si="30"/>
        <v>54939</v>
      </c>
      <c r="D364" s="46" t="str">
        <f>IF(COUNTIFS('PAYG INDICATIVE OPTIONS'!$U$4:$X$9,'Loan Repayment Input Sheet'!B364)&gt;0,0,"")</f>
        <v/>
      </c>
      <c r="E364" s="27"/>
      <c r="F364" s="10">
        <f t="shared" si="31"/>
        <v>0</v>
      </c>
      <c r="G364" s="29">
        <f t="shared" si="32"/>
        <v>0</v>
      </c>
      <c r="H364" s="12">
        <f t="shared" si="33"/>
        <v>0</v>
      </c>
      <c r="I364" s="12">
        <f t="shared" si="34"/>
        <v>0</v>
      </c>
      <c r="J364" s="29">
        <f t="shared" si="35"/>
        <v>0</v>
      </c>
      <c r="K364" s="41"/>
      <c r="L364" s="41"/>
      <c r="M364" s="41"/>
      <c r="N364" s="41"/>
    </row>
    <row r="365" spans="1:14" x14ac:dyDescent="0.2">
      <c r="B365" s="1">
        <v>345</v>
      </c>
      <c r="C365" s="13">
        <f t="shared" si="30"/>
        <v>54969</v>
      </c>
      <c r="D365" s="46" t="str">
        <f>IF(COUNTIFS('PAYG INDICATIVE OPTIONS'!$U$4:$X$9,'Loan Repayment Input Sheet'!B365)&gt;0,0,"")</f>
        <v/>
      </c>
      <c r="E365" s="27"/>
      <c r="F365" s="10">
        <f t="shared" si="31"/>
        <v>0</v>
      </c>
      <c r="G365" s="29">
        <f t="shared" si="32"/>
        <v>0</v>
      </c>
      <c r="H365" s="12">
        <f t="shared" si="33"/>
        <v>0</v>
      </c>
      <c r="I365" s="12">
        <f t="shared" si="34"/>
        <v>0</v>
      </c>
      <c r="J365" s="29">
        <f t="shared" si="35"/>
        <v>0</v>
      </c>
      <c r="K365" s="41"/>
      <c r="L365" s="41"/>
      <c r="M365" s="41"/>
      <c r="N365" s="41"/>
    </row>
    <row r="366" spans="1:14" x14ac:dyDescent="0.2">
      <c r="B366" s="1">
        <v>346</v>
      </c>
      <c r="C366" s="13">
        <f t="shared" si="30"/>
        <v>55000</v>
      </c>
      <c r="D366" s="46" t="str">
        <f>IF(COUNTIFS('PAYG INDICATIVE OPTIONS'!$U$4:$X$9,'Loan Repayment Input Sheet'!B366)&gt;0,0,"")</f>
        <v/>
      </c>
      <c r="E366" s="27"/>
      <c r="F366" s="10">
        <f t="shared" si="31"/>
        <v>0</v>
      </c>
      <c r="G366" s="29">
        <f t="shared" si="32"/>
        <v>0</v>
      </c>
      <c r="H366" s="12">
        <f t="shared" si="33"/>
        <v>0</v>
      </c>
      <c r="I366" s="12">
        <f t="shared" si="34"/>
        <v>0</v>
      </c>
      <c r="J366" s="29">
        <f t="shared" si="35"/>
        <v>0</v>
      </c>
      <c r="K366" s="41"/>
      <c r="L366" s="41"/>
      <c r="M366" s="41"/>
      <c r="N366" s="41"/>
    </row>
    <row r="367" spans="1:14" x14ac:dyDescent="0.2">
      <c r="B367" s="1">
        <v>347</v>
      </c>
      <c r="C367" s="13">
        <f t="shared" si="30"/>
        <v>55031</v>
      </c>
      <c r="D367" s="46" t="str">
        <f>IF(COUNTIFS('PAYG INDICATIVE OPTIONS'!$U$4:$X$9,'Loan Repayment Input Sheet'!B367)&gt;0,0,"")</f>
        <v/>
      </c>
      <c r="E367" s="27"/>
      <c r="F367" s="10">
        <f t="shared" si="31"/>
        <v>0</v>
      </c>
      <c r="G367" s="29">
        <f t="shared" si="32"/>
        <v>0</v>
      </c>
      <c r="H367" s="12">
        <f t="shared" si="33"/>
        <v>0</v>
      </c>
      <c r="I367" s="12">
        <f t="shared" si="34"/>
        <v>0</v>
      </c>
      <c r="J367" s="29">
        <f t="shared" si="35"/>
        <v>0</v>
      </c>
      <c r="K367" s="41"/>
      <c r="L367" s="41"/>
      <c r="M367" s="41"/>
      <c r="N367" s="41"/>
    </row>
    <row r="368" spans="1:14" x14ac:dyDescent="0.2">
      <c r="B368" s="1">
        <v>348</v>
      </c>
      <c r="C368" s="13">
        <f t="shared" si="30"/>
        <v>55061</v>
      </c>
      <c r="D368" s="46" t="str">
        <f>IF(COUNTIFS('PAYG INDICATIVE OPTIONS'!$U$4:$X$9,'Loan Repayment Input Sheet'!B368)&gt;0,0,"")</f>
        <v/>
      </c>
      <c r="E368" s="27"/>
      <c r="F368" s="10">
        <f t="shared" si="31"/>
        <v>0</v>
      </c>
      <c r="G368" s="29">
        <f t="shared" si="32"/>
        <v>0</v>
      </c>
      <c r="H368" s="12">
        <f t="shared" si="33"/>
        <v>0</v>
      </c>
      <c r="I368" s="12">
        <f t="shared" si="34"/>
        <v>0</v>
      </c>
      <c r="J368" s="29">
        <f t="shared" si="35"/>
        <v>0</v>
      </c>
      <c r="K368" s="41"/>
      <c r="L368" s="41"/>
      <c r="M368" s="41"/>
      <c r="N368" s="41"/>
    </row>
    <row r="369" spans="1:14" x14ac:dyDescent="0.2">
      <c r="A369" s="1">
        <f>IF($A$18=1,30,IF($A$18=3,""))</f>
        <v>30</v>
      </c>
      <c r="B369" s="1">
        <v>349</v>
      </c>
      <c r="C369" s="13">
        <f t="shared" si="30"/>
        <v>55092</v>
      </c>
      <c r="D369" s="46" t="str">
        <f>IF(COUNTIFS('PAYG INDICATIVE OPTIONS'!$U$4:$X$9,'Loan Repayment Input Sheet'!B369)&gt;0,0,"")</f>
        <v/>
      </c>
      <c r="E369" s="27"/>
      <c r="F369" s="10">
        <f t="shared" si="31"/>
        <v>0</v>
      </c>
      <c r="G369" s="29">
        <f t="shared" si="32"/>
        <v>0</v>
      </c>
      <c r="H369" s="12">
        <f t="shared" si="33"/>
        <v>0</v>
      </c>
      <c r="I369" s="12">
        <f t="shared" si="34"/>
        <v>0</v>
      </c>
      <c r="J369" s="29">
        <f t="shared" si="35"/>
        <v>0</v>
      </c>
      <c r="K369" s="41"/>
      <c r="L369" s="41"/>
      <c r="M369" s="41"/>
      <c r="N369" s="41"/>
    </row>
    <row r="370" spans="1:14" x14ac:dyDescent="0.2">
      <c r="B370" s="1">
        <v>350</v>
      </c>
      <c r="C370" s="13">
        <f t="shared" si="30"/>
        <v>55122</v>
      </c>
      <c r="D370" s="46" t="str">
        <f>IF(COUNTIFS('PAYG INDICATIVE OPTIONS'!$U$4:$X$9,'Loan Repayment Input Sheet'!B370)&gt;0,0,"")</f>
        <v/>
      </c>
      <c r="E370" s="27"/>
      <c r="F370" s="10">
        <f t="shared" si="31"/>
        <v>0</v>
      </c>
      <c r="G370" s="29">
        <f t="shared" si="32"/>
        <v>0</v>
      </c>
      <c r="H370" s="12">
        <f t="shared" si="33"/>
        <v>0</v>
      </c>
      <c r="I370" s="12">
        <f t="shared" si="34"/>
        <v>0</v>
      </c>
      <c r="J370" s="29">
        <f t="shared" si="35"/>
        <v>0</v>
      </c>
      <c r="K370" s="41"/>
      <c r="L370" s="41"/>
      <c r="M370" s="41"/>
      <c r="N370" s="41"/>
    </row>
    <row r="371" spans="1:14" x14ac:dyDescent="0.2">
      <c r="B371" s="1">
        <v>351</v>
      </c>
      <c r="C371" s="13">
        <f t="shared" si="30"/>
        <v>55153</v>
      </c>
      <c r="D371" s="46" t="str">
        <f>IF(COUNTIFS('PAYG INDICATIVE OPTIONS'!$U$4:$X$9,'Loan Repayment Input Sheet'!B371)&gt;0,0,"")</f>
        <v/>
      </c>
      <c r="E371" s="27"/>
      <c r="F371" s="10">
        <f t="shared" si="31"/>
        <v>0</v>
      </c>
      <c r="G371" s="29">
        <f t="shared" si="32"/>
        <v>0</v>
      </c>
      <c r="H371" s="12">
        <f t="shared" si="33"/>
        <v>0</v>
      </c>
      <c r="I371" s="12">
        <f t="shared" si="34"/>
        <v>0</v>
      </c>
      <c r="J371" s="29">
        <f t="shared" si="35"/>
        <v>0</v>
      </c>
      <c r="K371" s="41"/>
      <c r="L371" s="41"/>
      <c r="M371" s="41"/>
      <c r="N371" s="41"/>
    </row>
    <row r="372" spans="1:14" x14ac:dyDescent="0.2">
      <c r="B372" s="1">
        <v>352</v>
      </c>
      <c r="C372" s="13">
        <f t="shared" si="30"/>
        <v>55184</v>
      </c>
      <c r="D372" s="46" t="str">
        <f>IF(COUNTIFS('PAYG INDICATIVE OPTIONS'!$U$4:$X$9,'Loan Repayment Input Sheet'!B372)&gt;0,0,"")</f>
        <v/>
      </c>
      <c r="E372" s="27"/>
      <c r="F372" s="10">
        <f t="shared" si="31"/>
        <v>0</v>
      </c>
      <c r="G372" s="29">
        <f t="shared" si="32"/>
        <v>0</v>
      </c>
      <c r="H372" s="12">
        <f t="shared" si="33"/>
        <v>0</v>
      </c>
      <c r="I372" s="12">
        <f t="shared" si="34"/>
        <v>0</v>
      </c>
      <c r="J372" s="29">
        <f t="shared" si="35"/>
        <v>0</v>
      </c>
      <c r="K372" s="41"/>
      <c r="L372" s="41"/>
      <c r="M372" s="41"/>
      <c r="N372" s="41"/>
    </row>
    <row r="373" spans="1:14" x14ac:dyDescent="0.2">
      <c r="B373" s="1">
        <v>353</v>
      </c>
      <c r="C373" s="13">
        <f t="shared" si="30"/>
        <v>55212</v>
      </c>
      <c r="D373" s="46" t="str">
        <f>IF(COUNTIFS('PAYG INDICATIVE OPTIONS'!$U$4:$X$9,'Loan Repayment Input Sheet'!B373)&gt;0,0,"")</f>
        <v/>
      </c>
      <c r="E373" s="27"/>
      <c r="F373" s="10">
        <f t="shared" si="31"/>
        <v>0</v>
      </c>
      <c r="G373" s="29">
        <f t="shared" si="32"/>
        <v>0</v>
      </c>
      <c r="H373" s="12">
        <f t="shared" si="33"/>
        <v>0</v>
      </c>
      <c r="I373" s="12">
        <f t="shared" si="34"/>
        <v>0</v>
      </c>
      <c r="J373" s="29">
        <f t="shared" si="35"/>
        <v>0</v>
      </c>
      <c r="K373" s="41"/>
      <c r="L373" s="41"/>
      <c r="M373" s="41"/>
      <c r="N373" s="41"/>
    </row>
    <row r="374" spans="1:14" x14ac:dyDescent="0.2">
      <c r="B374" s="1">
        <v>354</v>
      </c>
      <c r="C374" s="13">
        <f t="shared" si="30"/>
        <v>55243</v>
      </c>
      <c r="D374" s="46" t="str">
        <f>IF(COUNTIFS('PAYG INDICATIVE OPTIONS'!$U$4:$X$9,'Loan Repayment Input Sheet'!B374)&gt;0,0,"")</f>
        <v/>
      </c>
      <c r="E374" s="27"/>
      <c r="F374" s="10">
        <f t="shared" si="31"/>
        <v>0</v>
      </c>
      <c r="G374" s="29">
        <f t="shared" si="32"/>
        <v>0</v>
      </c>
      <c r="H374" s="12">
        <f t="shared" si="33"/>
        <v>0</v>
      </c>
      <c r="I374" s="12">
        <f t="shared" si="34"/>
        <v>0</v>
      </c>
      <c r="J374" s="29">
        <f t="shared" si="35"/>
        <v>0</v>
      </c>
      <c r="K374" s="41"/>
      <c r="L374" s="41"/>
      <c r="M374" s="41"/>
      <c r="N374" s="41"/>
    </row>
    <row r="375" spans="1:14" x14ac:dyDescent="0.2">
      <c r="B375" s="1">
        <v>355</v>
      </c>
      <c r="C375" s="13">
        <f t="shared" si="30"/>
        <v>55273</v>
      </c>
      <c r="D375" s="46" t="str">
        <f>IF(COUNTIFS('PAYG INDICATIVE OPTIONS'!$U$4:$X$9,'Loan Repayment Input Sheet'!B375)&gt;0,0,"")</f>
        <v/>
      </c>
      <c r="E375" s="27"/>
      <c r="F375" s="10">
        <f t="shared" si="31"/>
        <v>0</v>
      </c>
      <c r="G375" s="29">
        <f t="shared" si="32"/>
        <v>0</v>
      </c>
      <c r="H375" s="12">
        <f t="shared" si="33"/>
        <v>0</v>
      </c>
      <c r="I375" s="12">
        <f t="shared" si="34"/>
        <v>0</v>
      </c>
      <c r="J375" s="29">
        <f t="shared" si="35"/>
        <v>0</v>
      </c>
      <c r="K375" s="41"/>
      <c r="L375" s="41"/>
      <c r="M375" s="41"/>
      <c r="N375" s="41"/>
    </row>
    <row r="376" spans="1:14" x14ac:dyDescent="0.2">
      <c r="B376" s="1">
        <v>356</v>
      </c>
      <c r="C376" s="13">
        <f t="shared" si="30"/>
        <v>55304</v>
      </c>
      <c r="D376" s="46" t="str">
        <f>IF(COUNTIFS('PAYG INDICATIVE OPTIONS'!$U$4:$X$9,'Loan Repayment Input Sheet'!B376)&gt;0,0,"")</f>
        <v/>
      </c>
      <c r="E376" s="27"/>
      <c r="F376" s="10">
        <f t="shared" si="31"/>
        <v>0</v>
      </c>
      <c r="G376" s="29">
        <f t="shared" si="32"/>
        <v>0</v>
      </c>
      <c r="H376" s="12">
        <f t="shared" si="33"/>
        <v>0</v>
      </c>
      <c r="I376" s="12">
        <f t="shared" si="34"/>
        <v>0</v>
      </c>
      <c r="J376" s="29">
        <f t="shared" si="35"/>
        <v>0</v>
      </c>
      <c r="K376" s="41"/>
      <c r="L376" s="41"/>
      <c r="M376" s="41"/>
      <c r="N376" s="41"/>
    </row>
    <row r="377" spans="1:14" x14ac:dyDescent="0.2">
      <c r="B377" s="1">
        <v>357</v>
      </c>
      <c r="C377" s="13">
        <f t="shared" si="30"/>
        <v>55334</v>
      </c>
      <c r="D377" s="46" t="str">
        <f>IF(COUNTIFS('PAYG INDICATIVE OPTIONS'!$U$4:$X$9,'Loan Repayment Input Sheet'!B377)&gt;0,0,"")</f>
        <v/>
      </c>
      <c r="E377" s="27"/>
      <c r="F377" s="10">
        <f t="shared" si="31"/>
        <v>0</v>
      </c>
      <c r="G377" s="29">
        <f t="shared" si="32"/>
        <v>0</v>
      </c>
      <c r="H377" s="12">
        <f t="shared" si="33"/>
        <v>0</v>
      </c>
      <c r="I377" s="12">
        <f t="shared" si="34"/>
        <v>0</v>
      </c>
      <c r="J377" s="29">
        <f t="shared" si="35"/>
        <v>0</v>
      </c>
      <c r="K377" s="41"/>
      <c r="L377" s="41"/>
      <c r="M377" s="41"/>
      <c r="N377" s="41"/>
    </row>
    <row r="378" spans="1:14" x14ac:dyDescent="0.2">
      <c r="B378" s="1">
        <v>358</v>
      </c>
      <c r="C378" s="13">
        <f t="shared" si="30"/>
        <v>55365</v>
      </c>
      <c r="D378" s="46" t="str">
        <f>IF(COUNTIFS('PAYG INDICATIVE OPTIONS'!$U$4:$X$9,'Loan Repayment Input Sheet'!B378)&gt;0,0,"")</f>
        <v/>
      </c>
      <c r="E378" s="27"/>
      <c r="F378" s="10">
        <f t="shared" si="31"/>
        <v>0</v>
      </c>
      <c r="G378" s="29">
        <f t="shared" si="32"/>
        <v>0</v>
      </c>
      <c r="H378" s="12">
        <f t="shared" si="33"/>
        <v>0</v>
      </c>
      <c r="I378" s="12">
        <f t="shared" si="34"/>
        <v>0</v>
      </c>
      <c r="J378" s="29">
        <f t="shared" si="35"/>
        <v>0</v>
      </c>
      <c r="K378" s="41"/>
      <c r="L378" s="41"/>
      <c r="M378" s="41"/>
      <c r="N378" s="41"/>
    </row>
    <row r="379" spans="1:14" x14ac:dyDescent="0.2">
      <c r="B379" s="1">
        <v>359</v>
      </c>
      <c r="C379" s="13">
        <f t="shared" si="30"/>
        <v>55396</v>
      </c>
      <c r="D379" s="46" t="str">
        <f>IF(COUNTIFS('PAYG INDICATIVE OPTIONS'!$U$4:$X$9,'Loan Repayment Input Sheet'!B379)&gt;0,0,"")</f>
        <v/>
      </c>
      <c r="E379" s="27"/>
      <c r="F379" s="10">
        <f t="shared" si="31"/>
        <v>0</v>
      </c>
      <c r="G379" s="29">
        <f t="shared" si="32"/>
        <v>0</v>
      </c>
      <c r="H379" s="12">
        <f t="shared" si="33"/>
        <v>0</v>
      </c>
      <c r="I379" s="12">
        <f t="shared" si="34"/>
        <v>0</v>
      </c>
      <c r="J379" s="29">
        <f t="shared" si="35"/>
        <v>0</v>
      </c>
      <c r="K379" s="41"/>
      <c r="L379" s="41"/>
      <c r="M379" s="41"/>
      <c r="N379" s="41"/>
    </row>
    <row r="380" spans="1:14" x14ac:dyDescent="0.2">
      <c r="B380" s="1">
        <v>360</v>
      </c>
      <c r="C380" s="13">
        <f t="shared" si="30"/>
        <v>55426</v>
      </c>
      <c r="D380" s="46" t="str">
        <f>IF(COUNTIFS('PAYG INDICATIVE OPTIONS'!$U$4:$X$9,'Loan Repayment Input Sheet'!B380)&gt;0,0,"")</f>
        <v/>
      </c>
      <c r="E380" s="27"/>
      <c r="F380" s="10">
        <f t="shared" si="31"/>
        <v>0</v>
      </c>
      <c r="G380" s="29">
        <f t="shared" si="32"/>
        <v>0</v>
      </c>
      <c r="H380" s="12">
        <f t="shared" si="33"/>
        <v>0</v>
      </c>
      <c r="I380" s="12">
        <f t="shared" si="34"/>
        <v>0</v>
      </c>
      <c r="J380" s="29">
        <f t="shared" si="35"/>
        <v>0</v>
      </c>
      <c r="K380" s="41"/>
      <c r="L380" s="41"/>
      <c r="M380" s="41"/>
      <c r="N380" s="41"/>
    </row>
    <row r="381" spans="1:14" x14ac:dyDescent="0.2">
      <c r="A381" s="1">
        <f>IF($A$18=1,31,IF($A$18=3,""))</f>
        <v>31</v>
      </c>
      <c r="B381" s="1">
        <v>361</v>
      </c>
      <c r="C381" s="13">
        <f>EOMONTH(C380,$A$18)</f>
        <v>55457</v>
      </c>
      <c r="D381" s="46" t="str">
        <f>IF(COUNTIFS('PAYG INDICATIVE OPTIONS'!$U$4:$X$9,'Loan Repayment Input Sheet'!B381)&gt;0,0,"")</f>
        <v/>
      </c>
      <c r="E381" s="27"/>
      <c r="F381" s="27">
        <f t="shared" si="31"/>
        <v>0</v>
      </c>
      <c r="G381" s="29">
        <f t="shared" si="32"/>
        <v>0</v>
      </c>
      <c r="H381" s="12">
        <f t="shared" si="33"/>
        <v>0</v>
      </c>
      <c r="I381" s="12">
        <f t="shared" si="34"/>
        <v>0</v>
      </c>
      <c r="J381" s="29">
        <f t="shared" si="35"/>
        <v>0</v>
      </c>
      <c r="K381" s="41"/>
      <c r="L381" s="41"/>
      <c r="M381" s="41"/>
      <c r="N381" s="41"/>
    </row>
    <row r="382" spans="1:14" x14ac:dyDescent="0.2">
      <c r="B382" s="1">
        <v>362</v>
      </c>
      <c r="C382" s="13">
        <f>EOMONTH(C381,$A$18)</f>
        <v>55487</v>
      </c>
      <c r="D382" s="46" t="str">
        <f>IF(COUNTIFS('PAYG INDICATIVE OPTIONS'!$U$4:$X$9,'Loan Repayment Input Sheet'!B382)&gt;0,0,"")</f>
        <v/>
      </c>
      <c r="E382" s="27"/>
      <c r="F382" s="27">
        <f t="shared" si="31"/>
        <v>0</v>
      </c>
      <c r="G382" s="29">
        <f t="shared" si="32"/>
        <v>0</v>
      </c>
      <c r="H382" s="12">
        <f t="shared" si="33"/>
        <v>0</v>
      </c>
      <c r="I382" s="12">
        <f t="shared" si="34"/>
        <v>0</v>
      </c>
      <c r="J382" s="29">
        <f t="shared" si="35"/>
        <v>0</v>
      </c>
      <c r="K382" s="41"/>
      <c r="L382" s="41"/>
      <c r="M382" s="41"/>
      <c r="N382" s="41"/>
    </row>
    <row r="383" spans="1:14" x14ac:dyDescent="0.2">
      <c r="B383" s="1">
        <v>363</v>
      </c>
      <c r="C383" s="13">
        <f>EOMONTH(C382,$A$18)</f>
        <v>55518</v>
      </c>
      <c r="D383" s="46" t="str">
        <f>IF(COUNTIFS('PAYG INDICATIVE OPTIONS'!$U$4:$X$9,'Loan Repayment Input Sheet'!B383)&gt;0,0,"")</f>
        <v/>
      </c>
      <c r="E383" s="27"/>
      <c r="F383" s="27">
        <f t="shared" si="31"/>
        <v>0</v>
      </c>
      <c r="G383" s="29">
        <f t="shared" si="32"/>
        <v>0</v>
      </c>
      <c r="H383" s="12">
        <f t="shared" si="33"/>
        <v>0</v>
      </c>
      <c r="I383" s="12">
        <f t="shared" si="34"/>
        <v>0</v>
      </c>
      <c r="J383" s="29">
        <f t="shared" si="35"/>
        <v>0</v>
      </c>
      <c r="K383" s="41"/>
      <c r="L383" s="41"/>
      <c r="M383" s="41"/>
      <c r="N383" s="41"/>
    </row>
    <row r="384" spans="1:14" x14ac:dyDescent="0.2">
      <c r="B384" s="1">
        <v>364</v>
      </c>
      <c r="C384" s="13">
        <f>EOMONTH(C383,$A$18)</f>
        <v>55549</v>
      </c>
      <c r="D384" s="46" t="str">
        <f>IF(COUNTIFS('PAYG INDICATIVE OPTIONS'!$U$4:$X$9,'Loan Repayment Input Sheet'!B384)&gt;0,0,"")</f>
        <v/>
      </c>
      <c r="E384" s="27"/>
      <c r="F384" s="27">
        <f t="shared" si="31"/>
        <v>0</v>
      </c>
      <c r="G384" s="29">
        <f t="shared" si="32"/>
        <v>0</v>
      </c>
      <c r="H384" s="12">
        <f t="shared" si="33"/>
        <v>0</v>
      </c>
      <c r="I384" s="12">
        <f t="shared" si="34"/>
        <v>0</v>
      </c>
      <c r="J384" s="29">
        <f t="shared" si="35"/>
        <v>0</v>
      </c>
      <c r="K384" s="41"/>
      <c r="L384" s="41"/>
      <c r="M384" s="41"/>
      <c r="N384" s="41"/>
    </row>
  </sheetData>
  <sheetProtection password="C893" sheet="1" objects="1" scenarios="1"/>
  <dataConsolidate/>
  <mergeCells count="7">
    <mergeCell ref="K18:N18"/>
    <mergeCell ref="B16:G16"/>
    <mergeCell ref="G18:J18"/>
    <mergeCell ref="D19:D20"/>
    <mergeCell ref="B17:G17"/>
    <mergeCell ref="E19:E20"/>
    <mergeCell ref="F19:F20"/>
  </mergeCells>
  <conditionalFormatting sqref="G21:N380 C21:E21 E381:N384 C22:D384 E22:E380">
    <cfRule type="expression" dxfId="2" priority="12" stopIfTrue="1">
      <formula>$C21&gt;EOMONTH($H$4,0)</formula>
    </cfRule>
  </conditionalFormatting>
  <conditionalFormatting sqref="H11:H12">
    <cfRule type="expression" dxfId="1" priority="4">
      <formula>$H$10="Yes"</formula>
    </cfRule>
  </conditionalFormatting>
  <conditionalFormatting sqref="I11:L12">
    <cfRule type="expression" dxfId="0" priority="3" stopIfTrue="1">
      <formula>$I11&lt;&gt;""</formula>
    </cfRule>
  </conditionalFormatting>
  <dataValidations count="3">
    <dataValidation type="list" allowBlank="1" showInputMessage="1" showErrorMessage="1" sqref="H6">
      <formula1>"Select,Monthly,Quarterly"</formula1>
    </dataValidation>
    <dataValidation type="date" allowBlank="1" showInputMessage="1" showErrorMessage="1" sqref="H5">
      <formula1>36526</formula1>
      <formula2>401768</formula2>
    </dataValidation>
    <dataValidation type="list" allowBlank="1" showInputMessage="1" showErrorMessage="1" sqref="H10">
      <formula1>"Yes,No"</formula1>
    </dataValidation>
  </dataValidations>
  <pageMargins left="0.74803149606299213" right="0.74803149606299213" top="0.98425196850393704" bottom="0.98425196850393704" header="0.51181102362204722" footer="0.51181102362204722"/>
  <pageSetup paperSize="9" scale="88"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PAYG INDICATIVE OPTIONS</vt:lpstr>
      <vt:lpstr>Loan Repayment Input Sheet</vt:lpstr>
      <vt:lpstr>'Loan Repayment Input Sheet'!Print_Area</vt:lpstr>
    </vt:vector>
  </TitlesOfParts>
  <Company>Skipton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4491</dc:creator>
  <cp:lastModifiedBy>Christopher Brehaut</cp:lastModifiedBy>
  <cp:lastPrinted>2021-03-12T08:59:50Z</cp:lastPrinted>
  <dcterms:created xsi:type="dcterms:W3CDTF">2005-02-22T09:35:58Z</dcterms:created>
  <dcterms:modified xsi:type="dcterms:W3CDTF">2022-01-24T10:47:54Z</dcterms:modified>
</cp:coreProperties>
</file>